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Netzzugang\Veröffentlichungspflichten\Verfahrensspezifische Parameter\"/>
    </mc:Choice>
  </mc:AlternateContent>
  <xr:revisionPtr revIDLastSave="0" documentId="14_{B1FCB440-99F2-4F57-8E57-E26F439D5B25}" xr6:coauthVersionLast="47" xr6:coauthVersionMax="47" xr10:uidLastSave="{00000000-0000-0000-0000-000000000000}"/>
  <bookViews>
    <workbookView xWindow="28680" yWindow="-120" windowWidth="29040" windowHeight="1752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7" l="1"/>
  <c r="E4" i="17"/>
  <c r="W27" i="7" l="1"/>
  <c r="V27" i="7"/>
  <c r="X27" i="7" s="1"/>
  <c r="U27" i="7"/>
  <c r="T27" i="7"/>
  <c r="S27" i="7"/>
  <c r="R27" i="7"/>
  <c r="P27" i="7"/>
  <c r="O27" i="7"/>
  <c r="N27" i="7"/>
  <c r="M27" i="7"/>
  <c r="L27" i="7"/>
  <c r="K27" i="7"/>
  <c r="J27" i="7"/>
  <c r="I27" i="7"/>
  <c r="H27" i="7"/>
  <c r="Q27" i="7" s="1"/>
  <c r="F27" i="7"/>
  <c r="C33" i="15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E63" i="18"/>
  <c r="K63" i="18"/>
  <c r="D32" i="18"/>
  <c r="H31" i="18" s="1"/>
  <c r="F53" i="18"/>
  <c r="K53" i="18"/>
  <c r="D22" i="18"/>
  <c r="M21" i="18" s="1"/>
  <c r="E53" i="18"/>
  <c r="J53" i="18"/>
  <c r="F63" i="18"/>
  <c r="J63" i="18"/>
  <c r="M63" i="18"/>
  <c r="I53" i="18"/>
  <c r="N53" i="18"/>
  <c r="G53" i="18"/>
  <c r="M53" i="18"/>
  <c r="I63" i="18"/>
  <c r="N63" i="18"/>
  <c r="L21" i="18"/>
  <c r="H21" i="18"/>
  <c r="K21" i="18"/>
  <c r="G21" i="18"/>
  <c r="L31" i="18"/>
  <c r="M31" i="18"/>
  <c r="I31" i="18"/>
  <c r="H53" i="18"/>
  <c r="H63" i="18"/>
  <c r="D66" i="18" s="1"/>
  <c r="D24" i="15"/>
  <c r="C23" i="15"/>
  <c r="F21" i="18" l="1"/>
  <c r="F31" i="18"/>
  <c r="J21" i="18"/>
  <c r="J31" i="18"/>
  <c r="N21" i="18"/>
  <c r="N31" i="18"/>
  <c r="K31" i="18"/>
  <c r="I21" i="18"/>
  <c r="G3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H55" i="18"/>
  <c r="M55" i="18"/>
  <c r="E21" i="18"/>
  <c r="N55" i="18"/>
  <c r="F69" i="17"/>
  <c r="G69" i="17"/>
  <c r="H69" i="17"/>
  <c r="I69" i="17"/>
  <c r="J69" i="17"/>
  <c r="K69" i="17"/>
  <c r="L69" i="17"/>
  <c r="M69" i="17"/>
  <c r="N69" i="17"/>
  <c r="E69" i="17"/>
  <c r="L55" i="18" l="1"/>
  <c r="G55" i="18"/>
  <c r="K55" i="18"/>
  <c r="F55" i="18"/>
  <c r="I55" i="18"/>
  <c r="E55" i="18"/>
  <c r="E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F63" i="17" l="1"/>
  <c r="E63" i="17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<sst xmlns="http://schemas.openxmlformats.org/spreadsheetml/2006/main" count="1390" uniqueCount="684">
  <si>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</si>
  <si>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</si>
  <si>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</si>
  <si>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</si>
  <si>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</si>
  <si>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</si>
  <si>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</si>
  <si>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</si>
  <si>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</si>
  <si>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</si>
  <si>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</si>
  <si>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</si>
  <si>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</si>
  <si>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</si>
  <si>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</si>
  <si>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</si>
  <si>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</si>
  <si>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</si>
  <si>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</si>
  <si>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</si>
  <si>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</si>
  <si>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</si>
  <si>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</si>
  <si>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</si>
  <si>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</si>
  <si>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</si>
  <si>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</si>
  <si>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</si>
  <si>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</si>
  <si>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</si>
  <si>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</si>
  <si>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</si>
  <si>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</si>
  <si>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</si>
  <si>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</si>
  <si>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</si>
  <si>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</si>
  <si>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</si>
  <si>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</si>
  <si>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</si>
  <si>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</si>
  <si>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</si>
  <si>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</si>
  <si>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</si>
  <si>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</si>
  <si>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</si>
  <si>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</si>
  <si>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</si>
  <si>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</si>
  <si>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</si>
  <si>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</si>
  <si>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</si>
  <si>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</si>
  <si>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</si>
  <si>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</si>
  <si>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</si>
  <si>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</si>
  <si>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</si>
  <si>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</si>
  <si>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</si>
  <si>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</si>
  <si>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</si>
  <si>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</si>
  <si>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</si>
  <si>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</si>
  <si>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</si>
  <si>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</si>
  <si>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</si>
  <si>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</si>
  <si>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</si>
  <si>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</si>
  <si>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</si>
  <si>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</si>
  <si>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</si>
  <si>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</si>
  <si>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</si>
  <si>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</si>
  <si>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</si>
  <si>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</si>
  <si>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</si>
  <si>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</si>
  <si>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</si>
  <si>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</si>
  <si>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</si>
  <si>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</si>
  <si>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</si>
  <si>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</si>
  <si>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</si>
  <si>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</si>
  <si>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</si>
  <si>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</si>
  <si>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</si>
  <si>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</si>
  <si>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</si>
  <si>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</si>
  <si>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</si>
  <si>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</si>
  <si>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</si>
  <si>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</si>
  <si>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</si>
  <si>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</si>
  <si>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</si>
  <si>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</si>
  <si>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</si>
  <si>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</si>
  <si>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</si>
  <si>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</si>
  <si>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</si>
  <si>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</si>
  <si>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</si>
  <si>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</si>
  <si>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</si>
  <si>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</si>
  <si>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</si>
  <si>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</si>
  <si>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</si>
  <si>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</si>
  <si>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</si>
  <si>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</si>
  <si>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</si>
  <si>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</si>
  <si>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</si>
  <si>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</si>
  <si>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</si>
  <si>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</si>
  <si>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</si>
  <si>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</si>
  <si>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</si>
  <si>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</si>
  <si>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</si>
  <si>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</si>
  <si>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</si>
  <si>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</si>
  <si>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</si>
  <si>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</si>
  <si>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</si>
  <si>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</si>
  <si>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</si>
  <si>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</si>
  <si>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</si>
  <si>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</si>
  <si>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</si>
  <si>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</si>
  <si>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</si>
  <si>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</si>
  <si>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</si>
  <si>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</si>
  <si>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</si>
  <si>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</si>
  <si>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</si>
  <si>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</si>
  <si>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</si>
  <si>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</si>
  <si>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</si>
  <si>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</si>
  <si>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</si>
  <si>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</si>
  <si>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</si>
  <si>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</si>
  <si>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</si>
  <si>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</si>
  <si>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</si>
  <si>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</si>
  <si>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</si>
  <si>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</si>
  <si>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</si>
  <si>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</si>
  <si>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</si>
  <si>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</si>
  <si>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</si>
  <si>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</si>
  <si>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</si>
  <si>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</si>
  <si>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</si>
  <si>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</si>
  <si>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</si>
  <si>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</si>
  <si>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</si>
  <si>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</si>
  <si>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</si>
  <si>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</si>
  <si>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</si>
  <si>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</si>
  <si>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</si>
  <si>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</si>
  <si>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</si>
  <si>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</si>
  <si>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</si>
  <si>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</si>
  <si>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</si>
  <si>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</si>
  <si>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</si>
  <si>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</si>
  <si>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</si>
  <si>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</si>
  <si>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</si>
  <si>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</si>
  <si>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</si>
  <si>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</si>
  <si>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</si>
  <si>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</si>
  <si>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</si>
  <si>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</si>
  <si>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</si>
  <si>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</si>
  <si>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</si>
  <si>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</si>
  <si>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</si>
  <si>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</si>
  <si>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</si>
  <si>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</si>
  <si>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</si>
  <si>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</si>
  <si>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</si>
  <si>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</si>
  <si>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</si>
  <si>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</si>
  <si>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</si>
  <si>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</si>
  <si>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</si>
  <si>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</si>
  <si>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</si>
  <si>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</si>
  <si>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</si>
  <si>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</si>
  <si>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</si>
  <si>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</si>
  <si>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</si>
  <si>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</si>
  <si>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</si>
  <si>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</si>
  <si>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</si>
  <si>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</si>
  <si>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</si>
  <si>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</si>
  <si>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</si>
  <si>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</si>
  <si>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</si>
  <si>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</si>
  <si>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</si>
  <si>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</si>
  <si>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</si>
  <si>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</si>
  <si>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</si>
  <si>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</si>
  <si>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</si>
  <si>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</si>
  <si>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</si>
  <si>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</si>
  <si>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</si>
  <si>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</si>
  <si>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</si>
  <si>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</si>
  <si>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</si>
  <si>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</si>
  <si>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</si>
  <si>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</si>
  <si>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</si>
  <si>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</si>
  <si>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</si>
  <si>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</si>
  <si>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</si>
  <si>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</si>
  <si>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</si>
  <si>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</si>
  <si>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</si>
  <si>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</si>
  <si>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</si>
  <si>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</si>
  <si>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</si>
  <si>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</si>
  <si>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</si>
  <si>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</si>
  <si>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</si>
  <si>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</si>
  <si>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</si>
  <si>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</si>
  <si>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</si>
  <si>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</si>
  <si>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</si>
  <si>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</si>
  <si>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</si>
  <si>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</si>
  <si>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</si>
  <si>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</si>
  <si>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</si>
  <si>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</si>
  <si>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</si>
  <si>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</si>
  <si>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</si>
  <si>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</si>
  <si>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</si>
  <si>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</si>
  <si>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</si>
  <si>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</si>
  <si>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</si>
  <si>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</si>
  <si>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</si>
  <si>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</si>
  <si>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</si>
  <si>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</si>
  <si>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</si>
  <si>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</si>
  <si>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</si>
  <si>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</si>
  <si>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</si>
  <si>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</si>
  <si>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</si>
  <si>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</si>
  <si>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</si>
  <si>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</si>
  <si>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</si>
  <si>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</si>
  <si>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</si>
  <si>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</si>
  <si>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</si>
  <si>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</si>
  <si>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</si>
  <si>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</si>
  <si>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</si>
  <si>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</si>
  <si>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</si>
  <si>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</si>
  <si>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</si>
  <si>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</si>
  <si>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</si>
  <si>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</si>
  <si>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</si>
  <si>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</si>
  <si>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</si>
  <si>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</si>
  <si>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</si>
  <si>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</si>
  <si>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</si>
  <si>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</si>
  <si>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</si>
  <si>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</si>
  <si>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</si>
  <si>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</si>
  <si>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</si>
  <si>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</si>
  <si>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</si>
  <si>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</si>
  <si>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</si>
  <si>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</si>
  <si>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</si>
  <si>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</si>
  <si>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</si>
  <si>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</si>
  <si>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</si>
  <si>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</si>
  <si>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</si>
  <si>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</si>
  <si>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</si>
  <si>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</si>
  <si>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</si>
  <si>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</si>
  <si>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</si>
  <si>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</si>
  <si>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</si>
  <si>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</si>
  <si>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</si>
  <si>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</si>
  <si>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</si>
  <si>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</si>
  <si>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</si>
  <si>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</si>
  <si>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</si>
  <si>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</si>
  <si>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</si>
  <si>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</si>
  <si>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</si>
  <si>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</si>
  <si>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</si>
  <si>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</si>
  <si>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</si>
  <si>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</si>
  <si>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</si>
  <si>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</si>
  <si>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</si>
  <si>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</si>
  <si>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</si>
  <si>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</si>
  <si>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</si>
  <si>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</si>
  <si>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</si>
  <si>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</si>
  <si>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</si>
  <si>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</si>
  <si>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</si>
  <si>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</si>
  <si>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</si>
  <si>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</si>
  <si>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</si>
  <si>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</si>
  <si>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</si>
  <si>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</si>
  <si>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</si>
  <si>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</si>
  <si>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</si>
  <si>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</si>
  <si>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</si>
  <si>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</si>
  <si>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</si>
  <si>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</si>
  <si>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</si>
  <si>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</si>
  <si>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</si>
  <si>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</si>
  <si>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</si>
  <si>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</si>
  <si>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</si>
  <si>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</si>
  <si>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</si>
  <si>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</si>
  <si>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</si>
  <si>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</si>
  <si>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</si>
  <si>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</si>
  <si>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</si>
  <si>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</si>
  <si>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</si>
  <si>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</si>
  <si>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</si>
  <si>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</si>
  <si>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</si>
  <si>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</si>
  <si>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</si>
  <si>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</si>
  <si>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</si>
  <si>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</si>
  <si>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</si>
  <si>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</si>
  <si>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</si>
  <si>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</si>
  <si>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</si>
  <si>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</si>
  <si>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</si>
  <si>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</si>
  <si>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</si>
  <si>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</si>
  <si>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</si>
  <si>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</si>
  <si>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</si>
  <si>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</si>
  <si>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</si>
  <si>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</si>
  <si>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</si>
  <si>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</si>
  <si>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</si>
  <si>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</si>
  <si>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</si>
  <si>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</si>
  <si>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</si>
  <si>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</si>
  <si>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</si>
  <si>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</si>
  <si>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</si>
  <si>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</si>
  <si>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</si>
  <si>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</si>
  <si>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</si>
  <si>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</si>
  <si>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</si>
  <si>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</si>
  <si>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</si>
  <si>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</si>
  <si>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</si>
  <si>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</si>
  <si>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</si>
  <si>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</si>
  <si>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</si>
  <si>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</si>
  <si>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</si>
  <si>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</si>
  <si>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</si>
  <si>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</si>
  <si>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</si>
  <si>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</si>
  <si>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</si>
  <si>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</si>
  <si>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</si>
  <si>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</si>
  <si>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</si>
  <si>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</si>
  <si>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</si>
  <si>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</si>
  <si>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</si>
  <si>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</si>
  <si>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</si>
  <si>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</si>
  <si>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</si>
  <si>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</si>
  <si>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</si>
  <si>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</si>
  <si>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</si>
  <si>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</si>
  <si>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</si>
  <si>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</si>
  <si>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</si>
  <si>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</si>
  <si>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</si>
  <si>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</si>
  <si>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</si>
  <si>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</si>
  <si>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</si>
  <si>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</si>
  <si>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</si>
  <si>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</si>
  <si>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</si>
  <si>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</si>
  <si>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</si>
  <si>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</si>
  <si>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</si>
  <si>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</si>
  <si>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</si>
  <si>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</si>
  <si>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</si>
  <si>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</si>
  <si>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</si>
  <si>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</si>
  <si>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</si>
  <si>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</si>
  <si>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</si>
  <si>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</si>
  <si>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</si>
  <si>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</si>
  <si>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</si>
  <si>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</si>
  <si>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</si>
  <si>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</si>
  <si>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</si>
  <si>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</si>
  <si>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</si>
  <si>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</si>
  <si>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</si>
  <si>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</si>
  <si>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</si>
  <si>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</si>
  <si>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</si>
  <si>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</si>
  <si>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</si>
  <si>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</si>
  <si>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</si>
  <si>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</si>
  <si>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</si>
  <si>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</si>
  <si>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</si>
  <si>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</si>
  <si>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</si>
  <si>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</si>
  <si>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</si>
  <si>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</si>
  <si>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</si>
  <si>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</si>
  <si>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</si>
  <si>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</si>
  <si>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</si>
  <si>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</si>
  <si>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</si>
  <si>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</si>
  <si>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</si>
  <si>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</si>
  <si>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</si>
  <si>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</si>
  <si>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</si>
  <si>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</si>
  <si>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</si>
  <si>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</si>
  <si>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</si>
  <si>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</si>
  <si>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</si>
  <si>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</si>
  <si>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</si>
  <si>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</si>
  <si>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</si>
  <si>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</si>
  <si>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</si>
  <si>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</si>
  <si>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</si>
  <si>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</si>
  <si>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</si>
  <si>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</si>
  <si>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</si>
  <si>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</si>
  <si>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</si>
  <si>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</si>
  <si>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</si>
  <si>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</si>
  <si>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</si>
  <si>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</si>
  <si>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</si>
  <si>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</si>
  <si>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</si>
  <si>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</si>
  <si>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</si>
  <si>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</si>
  <si>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</si>
  <si>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</si>
  <si>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</si>
  <si>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</si>
  <si>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</si>
  <si>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</si>
  <si>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</si>
  <si>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</si>
  <si>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</si>
  <si>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</si>
  <si>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</si>
  <si>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</si>
  <si>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</si>
  <si>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</si>
  <si>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</si>
  <si>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</si>
  <si>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</si>
  <si>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</si>
  <si>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</si>
  <si>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</si>
  <si>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</si>
  <si>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</si>
  <si>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</si>
  <si>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</si>
  <si>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</si>
  <si>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</si>
  <si>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</si>
  <si>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</si>
  <si>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</si>
  <si>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</si>
  <si>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</si>
  <si>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</si>
  <si>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</si>
  <si>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</si>
  <si>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</si>
  <si>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</si>
  <si>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</si>
  <si>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</si>
  <si>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</si>
  <si>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</si>
  <si>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</si>
  <si>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</si>
  <si>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</si>
  <si>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</si>
  <si>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</si>
  <si>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</si>
  <si>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</si>
  <si>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</si>
  <si>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</si>
  <si>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</si>
  <si>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</si>
  <si>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</si>
  <si>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</si>
  <si>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</si>
  <si>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</si>
  <si>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</si>
  <si>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</si>
  <si>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</si>
  <si>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</si>
  <si>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</si>
  <si>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</si>
  <si>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</si>
  <si>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</si>
  <si>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</si>
  <si>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Bayerische Rhöngas GmbH</t>
  </si>
  <si>
    <t>9870043600005</t>
  </si>
  <si>
    <t>Hauptstr. 3</t>
  </si>
  <si>
    <t>Bad Neustadt</t>
  </si>
  <si>
    <t>Ralf Sell</t>
  </si>
  <si>
    <t>netznutzung@rhoengas.net</t>
  </si>
  <si>
    <t>09771/62240-210</t>
  </si>
  <si>
    <t>THE H-Gas</t>
  </si>
  <si>
    <t>Bad Kissingen</t>
  </si>
  <si>
    <t>DE_GMF03</t>
  </si>
  <si>
    <t>DE_GHD03</t>
  </si>
  <si>
    <t>DE_GHA03</t>
  </si>
  <si>
    <t>DE_GKO03</t>
  </si>
  <si>
    <t>DE_GGA03</t>
  </si>
  <si>
    <t>DE_GBD03</t>
  </si>
  <si>
    <t>DE_GMK03</t>
  </si>
  <si>
    <t>DE_GWA01</t>
  </si>
  <si>
    <t>DE_GWA03</t>
  </si>
  <si>
    <t>DE_GBA03</t>
  </si>
  <si>
    <t>DE_GBH03</t>
  </si>
  <si>
    <t>DE_GPD03</t>
  </si>
  <si>
    <t>DE_GGB03</t>
  </si>
  <si>
    <t>THE0NKH700436000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</si>
</sst>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2" xfId="0" applyBorder="1" applyAlignment="1">
      <alignment horizontal="center" textRotation="90" wrapText="1"/>
    </xf>
    <xf numFmtId="0" fontId="0" fillId="0" borderId="63" xfId="0" applyBorder="1" applyAlignment="1">
      <alignment horizontal="center" textRotation="90" wrapText="1"/>
    </xf>
    <xf numFmtId="0" fontId="75" fillId="0" borderId="63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1" xfId="0" applyFont="1" applyBorder="1"/>
    <xf numFmtId="0" fontId="12" fillId="0" borderId="56" xfId="3" applyFont="1" applyBorder="1"/>
    <xf numFmtId="0" fontId="12" fillId="0" borderId="61" xfId="3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9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59" xfId="0" applyFont="1" applyBorder="1"/>
    <xf numFmtId="0" fontId="0" fillId="0" borderId="60" xfId="0" applyBorder="1"/>
    <xf numFmtId="0" fontId="12" fillId="0" borderId="57" xfId="3" applyFont="1" applyBorder="1"/>
    <xf numFmtId="0" fontId="12" fillId="0" borderId="15" xfId="3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69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7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7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68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0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6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1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2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8" xfId="0" applyFont="1" applyFill="1" applyBorder="1" applyAlignment="1" applyProtection="1">
      <alignment horizontal="center" vertical="center"/>
      <protection locked="0"/>
    </xf>
    <xf numFmtId="0" fontId="76" fillId="0" borderId="73" xfId="3" applyFont="1" applyBorder="1" applyAlignment="1">
      <alignment horizontal="center"/>
    </xf>
    <xf numFmtId="0" fontId="76" fillId="0" borderId="74" xfId="3" applyFont="1" applyBorder="1" applyAlignment="1">
      <alignment horizontal="center"/>
    </xf>
    <xf numFmtId="0" fontId="76" fillId="0" borderId="75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33" borderId="17" xfId="0" quotePrefix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Netzzugang\Ver&#246;ffentlichungspflichten\Verfahrensspezifische%20Parameter\15-06-30_SLP_Gas_Verfahrensspezifische_Parameter_Netzbetreiber_700436_Bayerische%20Rh&#246;ngas%20GmbH_H.xlsx" TargetMode="External"/><Relationship Id="rId1" Type="http://schemas.openxmlformats.org/officeDocument/2006/relationships/externalLinkPath" Target="15-06-30_SLP_Gas_Verfahrensspezifische_Parameter_Netzbetreiber_700436_Bayerische%20Rh&#246;ngas%20GmbH_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Netzbetreiber"/>
      <sheetName val="SLP-Verfahren"/>
      <sheetName val="SLP-Temp-Gebiet #01"/>
      <sheetName val="SLP-Temp-Gebiet #02"/>
      <sheetName val="SLP-Profile"/>
      <sheetName val="BDEW-Standard"/>
      <sheetName val="SLP-Feiertage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80" zoomScaleNormal="80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470</v>
      </c>
    </row>
    <row r="3" spans="2:7"/>
    <row r="4" spans="2:7">
      <c r="B4" t="s">
        <v>465</v>
      </c>
    </row>
    <row r="5" spans="2:7">
      <c r="B5" t="s">
        <v>466</v>
      </c>
    </row>
    <row r="6" spans="2:7"/>
    <row r="7" spans="2:7">
      <c r="B7" t="s">
        <v>340</v>
      </c>
    </row>
    <row r="8" spans="2:7">
      <c r="B8" t="s">
        <v>467</v>
      </c>
    </row>
    <row r="9" spans="2:7"/>
    <row r="10" spans="2:7">
      <c r="B10" s="10" t="s">
        <v>452</v>
      </c>
    </row>
    <row r="11" spans="2:7">
      <c r="B11" t="s">
        <v>504</v>
      </c>
    </row>
    <row r="12" spans="2:7">
      <c r="B12" t="s">
        <v>505</v>
      </c>
    </row>
    <row r="13" spans="2:7">
      <c r="B13" t="s">
        <v>513</v>
      </c>
    </row>
    <row r="14" spans="2:7"/>
    <row r="15" spans="2:7">
      <c r="B15" s="14" t="s">
        <v>469</v>
      </c>
    </row>
    <row r="16" spans="2:7">
      <c r="G16" s="7"/>
    </row>
    <row r="17" spans="2:3">
      <c r="B17" s="2" t="s">
        <v>347</v>
      </c>
    </row>
    <row r="18" spans="2:3">
      <c r="B18" s="12" t="s">
        <v>341</v>
      </c>
    </row>
    <row r="19" spans="2:3">
      <c r="B19" s="12" t="s">
        <v>342</v>
      </c>
    </row>
    <row r="20" spans="2:3">
      <c r="B20" s="2"/>
    </row>
    <row r="21" spans="2:3">
      <c r="B21" s="2" t="s">
        <v>468</v>
      </c>
    </row>
    <row r="22" spans="2:3">
      <c r="B22" s="12" t="s">
        <v>343</v>
      </c>
    </row>
    <row r="23" spans="2:3">
      <c r="B23" s="12" t="s">
        <v>344</v>
      </c>
    </row>
    <row r="24" spans="2:3">
      <c r="B24" s="2"/>
    </row>
    <row r="25" spans="2:3">
      <c r="B25" s="2" t="s">
        <v>348</v>
      </c>
    </row>
    <row r="26" spans="2:3">
      <c r="B26" s="12" t="s">
        <v>345</v>
      </c>
    </row>
    <row r="27" spans="2:3">
      <c r="B27" s="12" t="s">
        <v>346</v>
      </c>
    </row>
    <row r="28" spans="2:3"/>
    <row r="29" spans="2:3">
      <c r="B29" s="15" t="s">
        <v>349</v>
      </c>
      <c r="C29" s="13">
        <v>43663</v>
      </c>
    </row>
    <row r="30" spans="2:3">
      <c r="B30" s="15" t="s">
        <v>350</v>
      </c>
      <c r="C30" s="284" t="s">
        <v>660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29" sqref="D29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260</v>
      </c>
    </row>
    <row r="3" spans="2:6" ht="15" customHeight="1">
      <c r="B3" s="16"/>
    </row>
    <row r="4" spans="2:6" ht="15" customHeight="1">
      <c r="B4" s="16"/>
      <c r="C4" s="48" t="s">
        <v>508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8" t="s">
        <v>509</v>
      </c>
      <c r="D6" s="17">
        <v>43678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72</v>
      </c>
      <c r="C9" s="3" t="s">
        <v>263</v>
      </c>
      <c r="D9" s="29" t="s">
        <v>661</v>
      </c>
    </row>
    <row r="10" spans="2:6" ht="15" customHeight="1">
      <c r="B10" s="16"/>
      <c r="C10" s="3"/>
      <c r="D10" s="18"/>
    </row>
    <row r="11" spans="2:6" ht="15" customHeight="1">
      <c r="B11" s="5" t="s">
        <v>73</v>
      </c>
      <c r="C11" s="2" t="s">
        <v>490</v>
      </c>
      <c r="D11" s="285" t="s">
        <v>662</v>
      </c>
    </row>
    <row r="12" spans="2:6" ht="15" customHeight="1">
      <c r="B12" s="16"/>
      <c r="C12" s="3"/>
      <c r="D12" s="18"/>
    </row>
    <row r="13" spans="2:6" ht="15" customHeight="1">
      <c r="B13" s="5" t="s">
        <v>74</v>
      </c>
      <c r="C13" s="3" t="s">
        <v>264</v>
      </c>
      <c r="D13" s="29" t="s">
        <v>663</v>
      </c>
    </row>
    <row r="14" spans="2:6" ht="15" customHeight="1">
      <c r="B14" s="16"/>
      <c r="C14" s="3"/>
      <c r="D14" s="19"/>
    </row>
    <row r="15" spans="2:6" ht="15" customHeight="1">
      <c r="B15" s="5" t="s">
        <v>75</v>
      </c>
      <c r="C15" s="3" t="s">
        <v>265</v>
      </c>
      <c r="D15" s="30">
        <v>97616</v>
      </c>
    </row>
    <row r="16" spans="2:6" ht="15" customHeight="1">
      <c r="B16" s="16"/>
      <c r="C16" s="3"/>
      <c r="D16" s="19"/>
    </row>
    <row r="17" spans="2:15" ht="15" customHeight="1">
      <c r="B17" s="5" t="s">
        <v>76</v>
      </c>
      <c r="C17" s="3" t="s">
        <v>266</v>
      </c>
      <c r="D17" s="29" t="s">
        <v>664</v>
      </c>
    </row>
    <row r="18" spans="2:15" ht="15" customHeight="1">
      <c r="B18" s="16"/>
      <c r="C18" s="3"/>
      <c r="D18" s="19"/>
    </row>
    <row r="19" spans="2:15" ht="15" customHeight="1">
      <c r="B19" s="5" t="s">
        <v>77</v>
      </c>
      <c r="C19" s="3" t="s">
        <v>267</v>
      </c>
      <c r="D19" s="29" t="s">
        <v>665</v>
      </c>
    </row>
    <row r="20" spans="2:15" ht="15" customHeight="1">
      <c r="B20" s="16"/>
      <c r="C20" s="3"/>
      <c r="D20" s="19"/>
    </row>
    <row r="21" spans="2:15" ht="15" customHeight="1">
      <c r="B21" s="5" t="s">
        <v>78</v>
      </c>
      <c r="C21" s="3" t="s">
        <v>268</v>
      </c>
      <c r="D21" s="31" t="s">
        <v>666</v>
      </c>
    </row>
    <row r="22" spans="2:15" ht="15" customHeight="1">
      <c r="B22" s="16"/>
      <c r="C22" s="3"/>
      <c r="D22" s="19"/>
    </row>
    <row r="23" spans="2:15" ht="15" customHeight="1">
      <c r="B23" s="5" t="s">
        <v>79</v>
      </c>
      <c r="C23" s="3" t="s">
        <v>269</v>
      </c>
      <c r="D23" s="29" t="s">
        <v>667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80</v>
      </c>
      <c r="C25" s="3" t="s">
        <v>491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81</v>
      </c>
      <c r="C27" t="s">
        <v>464</v>
      </c>
      <c r="D27" s="29" t="s">
        <v>398</v>
      </c>
      <c r="E27" s="27"/>
    </row>
    <row r="28" spans="2:15">
      <c r="C28" s="47" t="s">
        <v>507</v>
      </c>
      <c r="D28" s="33" t="str">
        <f>IF(D27&lt;&gt;C28,VLOOKUP(D27,$C$29:$D$48,2,FALSE),C28)</f>
        <v>THE H-Gas</v>
      </c>
      <c r="E28" s="26"/>
    </row>
    <row r="29" spans="2:15">
      <c r="C29" s="16" t="s">
        <v>398</v>
      </c>
      <c r="D29" s="32" t="s">
        <v>668</v>
      </c>
      <c r="E29" s="28"/>
    </row>
    <row r="30" spans="2:15">
      <c r="C30" s="16" t="s">
        <v>399</v>
      </c>
      <c r="D30" s="32"/>
      <c r="E30" s="28"/>
    </row>
    <row r="31" spans="2:15">
      <c r="C31" s="16" t="s">
        <v>424</v>
      </c>
      <c r="D31" s="32"/>
      <c r="E31" s="28"/>
    </row>
    <row r="32" spans="2:15">
      <c r="C32" s="16" t="s">
        <v>425</v>
      </c>
      <c r="D32" s="32"/>
      <c r="E32" s="28"/>
    </row>
    <row r="33" spans="3:5">
      <c r="C33" s="16" t="s">
        <v>426</v>
      </c>
      <c r="D33" s="32"/>
      <c r="E33" s="28"/>
    </row>
    <row r="34" spans="3:5">
      <c r="C34" s="16" t="s">
        <v>427</v>
      </c>
      <c r="D34" s="32"/>
      <c r="E34" s="28"/>
    </row>
    <row r="35" spans="3:5">
      <c r="C35" s="16" t="s">
        <v>428</v>
      </c>
      <c r="D35" s="32"/>
      <c r="E35" s="28"/>
    </row>
    <row r="36" spans="3:5">
      <c r="C36" s="16" t="s">
        <v>429</v>
      </c>
      <c r="D36" s="32"/>
      <c r="E36" s="28"/>
    </row>
    <row r="37" spans="3:5">
      <c r="C37" s="16" t="s">
        <v>430</v>
      </c>
      <c r="D37" s="32"/>
      <c r="E37" s="28"/>
    </row>
    <row r="38" spans="3:5">
      <c r="C38" s="16" t="s">
        <v>436</v>
      </c>
      <c r="D38" s="32"/>
      <c r="E38" s="28"/>
    </row>
    <row r="39" spans="3:5">
      <c r="C39" s="16" t="s">
        <v>437</v>
      </c>
      <c r="D39" s="32"/>
      <c r="E39" s="28"/>
    </row>
    <row r="40" spans="3:5">
      <c r="C40" s="16" t="s">
        <v>438</v>
      </c>
      <c r="D40" s="32"/>
      <c r="E40" s="28"/>
    </row>
    <row r="41" spans="3:5">
      <c r="C41" s="16" t="s">
        <v>439</v>
      </c>
      <c r="D41" s="32"/>
      <c r="E41" s="28"/>
    </row>
    <row r="42" spans="3:5">
      <c r="C42" s="16" t="s">
        <v>440</v>
      </c>
      <c r="D42" s="32"/>
      <c r="E42" s="28"/>
    </row>
    <row r="43" spans="3:5">
      <c r="C43" s="16" t="s">
        <v>441</v>
      </c>
      <c r="D43" s="32"/>
      <c r="E43" s="28"/>
    </row>
    <row r="44" spans="3:5">
      <c r="C44" s="16" t="s">
        <v>442</v>
      </c>
      <c r="D44" s="32"/>
      <c r="E44" s="28"/>
    </row>
    <row r="45" spans="3:5">
      <c r="C45" s="16" t="s">
        <v>443</v>
      </c>
      <c r="D45" s="32"/>
      <c r="E45" s="28"/>
    </row>
    <row r="46" spans="3:5">
      <c r="C46" s="16" t="s">
        <v>444</v>
      </c>
      <c r="D46" s="32"/>
      <c r="E46" s="28"/>
    </row>
    <row r="47" spans="3:5">
      <c r="C47" s="16" t="s">
        <v>445</v>
      </c>
      <c r="D47" s="32"/>
      <c r="E47" s="28"/>
    </row>
    <row r="48" spans="3:5">
      <c r="C48" s="16" t="s">
        <v>446</v>
      </c>
      <c r="D48" s="32"/>
      <c r="E48" s="28"/>
    </row>
    <row r="49"/>
    <row r="50"/>
  </sheetData>
  <conditionalFormatting sqref="D29:D48">
    <cfRule type="expression" dxfId="47" priority="2">
      <formula>IF(CELL("Zeile",D29)&lt;$D$25+CELL("Zeile",$D$29),1,0)</formula>
    </cfRule>
  </conditionalFormatting>
  <conditionalFormatting sqref="D30:D48">
    <cfRule type="expression" dxfId="46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topLeftCell="A2" zoomScale="80" zoomScaleNormal="80" workbookViewId="0">
      <selection activeCell="D48" sqref="D48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271</v>
      </c>
    </row>
    <row r="3" spans="2:15" ht="15"/>
    <row r="4" spans="2:15" ht="15"/>
    <row r="5" spans="2:15" ht="15" customHeight="1">
      <c r="B5" s="16"/>
      <c r="C5" s="40" t="s">
        <v>450</v>
      </c>
      <c r="D5" s="42" t="str">
        <f>Netzbetreiber!$D$9</f>
        <v>Bayerische Rhöngas GmbH</v>
      </c>
      <c r="H5" s="49"/>
      <c r="I5" s="49"/>
      <c r="J5" s="49"/>
      <c r="K5" s="49"/>
    </row>
    <row r="6" spans="2:15" ht="15" customHeight="1">
      <c r="B6" s="16"/>
      <c r="C6" s="45" t="s">
        <v>449</v>
      </c>
      <c r="D6" s="42" t="str">
        <f>Netzbetreiber!D28</f>
        <v>THE H-Gas</v>
      </c>
      <c r="H6" s="49"/>
      <c r="I6" s="49"/>
      <c r="J6" s="49"/>
      <c r="K6" s="49"/>
    </row>
    <row r="7" spans="2:15" ht="15" customHeight="1">
      <c r="B7" s="16"/>
      <c r="C7" s="40" t="s">
        <v>493</v>
      </c>
      <c r="D7" s="44" t="str">
        <f>Netzbetreiber!$D$11</f>
        <v>9870043600005</v>
      </c>
      <c r="H7" s="49"/>
      <c r="I7" s="49"/>
      <c r="J7" s="49"/>
      <c r="K7" s="49"/>
    </row>
    <row r="8" spans="2:15" ht="15" customHeight="1">
      <c r="B8" s="16"/>
      <c r="C8" s="40" t="s">
        <v>134</v>
      </c>
      <c r="D8" s="35">
        <f>Netzbetreiber!$D$6</f>
        <v>43678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 t="s">
        <v>82</v>
      </c>
      <c r="C11" s="3" t="s">
        <v>270</v>
      </c>
      <c r="D11" s="21" t="s">
        <v>258</v>
      </c>
      <c r="H11" s="227" t="s">
        <v>258</v>
      </c>
      <c r="I11" s="227" t="s">
        <v>261</v>
      </c>
      <c r="J11" s="227" t="s">
        <v>262</v>
      </c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83</v>
      </c>
      <c r="C13" s="3" t="s">
        <v>623</v>
      </c>
      <c r="D13" s="21" t="s">
        <v>624</v>
      </c>
      <c r="H13" s="227" t="s">
        <v>624</v>
      </c>
      <c r="I13" s="227" t="s">
        <v>625</v>
      </c>
      <c r="J13" s="49"/>
      <c r="K13" s="49"/>
    </row>
    <row r="14" spans="2:15" ht="15" customHeight="1">
      <c r="B14" s="16"/>
      <c r="C14" s="3"/>
      <c r="D14" s="19"/>
      <c r="H14" s="49"/>
      <c r="I14" s="49"/>
      <c r="J14" s="49"/>
      <c r="K14" s="49"/>
    </row>
    <row r="15" spans="2:15" ht="15" customHeight="1">
      <c r="B15" s="5" t="s">
        <v>84</v>
      </c>
      <c r="C15" s="3" t="s">
        <v>435</v>
      </c>
      <c r="D15" s="29" t="s">
        <v>683</v>
      </c>
      <c r="H15" s="49"/>
      <c r="I15" s="49"/>
      <c r="J15" s="49"/>
      <c r="K15" s="49"/>
    </row>
    <row r="16" spans="2:15" ht="15" customHeight="1">
      <c r="B16" s="5"/>
      <c r="C16" s="3" t="s">
        <v>434</v>
      </c>
      <c r="D16" s="29" t="s">
        <v>433</v>
      </c>
      <c r="H16" s="223"/>
      <c r="I16" s="223"/>
      <c r="J16" s="223"/>
      <c r="K16" s="223"/>
      <c r="L16" s="224"/>
    </row>
    <row r="17" spans="2:16" ht="15" customHeight="1">
      <c r="B17" s="16"/>
      <c r="C17" s="3"/>
      <c r="D17" s="19"/>
      <c r="H17" s="223"/>
      <c r="I17" s="223"/>
      <c r="J17" s="223"/>
      <c r="K17" s="223"/>
      <c r="L17" s="224"/>
    </row>
    <row r="18" spans="2:16" ht="15" customHeight="1">
      <c r="B18" s="5" t="s">
        <v>85</v>
      </c>
      <c r="C18" s="20" t="s">
        <v>371</v>
      </c>
      <c r="D18" s="34" t="s">
        <v>259</v>
      </c>
      <c r="H18" s="225" t="s">
        <v>259</v>
      </c>
      <c r="I18" s="225" t="s">
        <v>136</v>
      </c>
      <c r="J18" s="223"/>
      <c r="K18" s="223"/>
      <c r="L18" s="224"/>
    </row>
    <row r="19" spans="2:16" ht="15" customHeight="1">
      <c r="B19" s="16"/>
      <c r="C19" t="str">
        <f>HLOOKUP($D$18,$H$18:$I$20,2,0)</f>
        <v>=&gt; zeitnah ermittelter Netzzustand fließt nicht in Allokation ein</v>
      </c>
      <c r="D19" s="11"/>
      <c r="H19" s="226" t="s">
        <v>582</v>
      </c>
      <c r="I19" s="226" t="s">
        <v>494</v>
      </c>
      <c r="J19" s="223"/>
      <c r="K19" s="223"/>
      <c r="L19" s="224"/>
    </row>
    <row r="20" spans="2:16" ht="15" customHeight="1">
      <c r="B20" s="16"/>
      <c r="C20" t="str">
        <f>HLOOKUP($D$18,$H$18:$I$20,3,0)</f>
        <v>=&gt; Zeitreihentyp SLPsyn</v>
      </c>
      <c r="D20" s="11"/>
      <c r="H20" s="226" t="s">
        <v>495</v>
      </c>
      <c r="I20" s="226" t="s">
        <v>496</v>
      </c>
      <c r="J20" s="223"/>
      <c r="K20" s="223"/>
      <c r="L20" s="224"/>
    </row>
    <row r="21" spans="2:16" ht="15" customHeight="1">
      <c r="B21" s="16"/>
      <c r="D21" s="11"/>
      <c r="H21" s="226"/>
      <c r="I21" s="226"/>
      <c r="J21" s="223"/>
      <c r="K21" s="223"/>
      <c r="L21" s="224"/>
    </row>
    <row r="22" spans="2:16" ht="15" customHeight="1">
      <c r="B22" s="5" t="s">
        <v>86</v>
      </c>
      <c r="C22" t="s">
        <v>621</v>
      </c>
      <c r="D22" s="34" t="s">
        <v>617</v>
      </c>
      <c r="H22" s="223" t="s">
        <v>617</v>
      </c>
      <c r="I22" s="223" t="s">
        <v>618</v>
      </c>
      <c r="J22" s="223"/>
      <c r="K22"/>
      <c r="L22" s="224"/>
    </row>
    <row r="23" spans="2:16" ht="15" customHeight="1">
      <c r="B23" s="5"/>
      <c r="C23" t="str">
        <f>HLOOKUP(D22,H22:I23,2,0)</f>
        <v>nach TU-München Verfahren</v>
      </c>
      <c r="D23" s="34" t="s">
        <v>626</v>
      </c>
      <c r="H23" s="223" t="s">
        <v>620</v>
      </c>
      <c r="I23" t="s">
        <v>616</v>
      </c>
      <c r="J23"/>
      <c r="K23"/>
      <c r="L23" s="224"/>
    </row>
    <row r="24" spans="2:16" ht="15" customHeight="1">
      <c r="B24" s="16"/>
      <c r="C24" s="2" t="s">
        <v>622</v>
      </c>
      <c r="D24" s="2" t="str">
        <f>IF(D22=$H$22,L24,IF(D23=$H$24,M24,N24))</f>
        <v>=&gt;  Q(D) = KW  x  h(T, SLP-Typ)  x  F(WT)</v>
      </c>
      <c r="H24" s="223" t="s">
        <v>619</v>
      </c>
      <c r="I24" s="223" t="s">
        <v>626</v>
      </c>
      <c r="J24"/>
      <c r="K24"/>
      <c r="L24" s="226" t="s">
        <v>627</v>
      </c>
      <c r="M24" s="226" t="s">
        <v>629</v>
      </c>
      <c r="N24" s="226" t="s">
        <v>628</v>
      </c>
      <c r="O24"/>
      <c r="P24" s="224"/>
    </row>
    <row r="25" spans="2:16" ht="15" customHeight="1">
      <c r="B25" s="16"/>
      <c r="C25" s="2"/>
      <c r="H25" s="223"/>
      <c r="I25" s="223"/>
      <c r="J25" s="223"/>
      <c r="K25" s="223"/>
      <c r="L25" s="224"/>
    </row>
    <row r="26" spans="2:16" ht="15" customHeight="1">
      <c r="B26" s="5" t="s">
        <v>373</v>
      </c>
      <c r="C26" s="4" t="s">
        <v>585</v>
      </c>
      <c r="D26" s="29" t="s">
        <v>137</v>
      </c>
      <c r="H26" s="225" t="s">
        <v>135</v>
      </c>
      <c r="I26" s="225" t="s">
        <v>137</v>
      </c>
      <c r="J26" s="223"/>
      <c r="K26" s="223"/>
      <c r="L26" s="224"/>
    </row>
    <row r="27" spans="2:16" ht="15" customHeight="1">
      <c r="B27" s="5"/>
      <c r="C27" s="4" t="s">
        <v>630</v>
      </c>
      <c r="D27" s="29" t="s">
        <v>631</v>
      </c>
      <c r="H27" s="255" t="s">
        <v>631</v>
      </c>
      <c r="I27" s="225" t="s">
        <v>632</v>
      </c>
      <c r="J27" s="225" t="s">
        <v>633</v>
      </c>
      <c r="K27" s="223"/>
      <c r="L27" s="224"/>
    </row>
    <row r="28" spans="2:16" ht="15" customHeight="1">
      <c r="B28" s="16"/>
      <c r="C28" t="str">
        <f>HLOOKUP(D27,H27:J28,2,0)</f>
        <v>=&gt; Q(Allokation)  =  Q(Synth.);    F(kor) = 1</v>
      </c>
      <c r="D28" s="256">
        <v>1</v>
      </c>
      <c r="H28" s="226" t="s">
        <v>634</v>
      </c>
      <c r="I28" s="226" t="s">
        <v>635</v>
      </c>
      <c r="J28" s="226" t="s">
        <v>636</v>
      </c>
      <c r="K28" s="223"/>
      <c r="L28" s="224"/>
    </row>
    <row r="29" spans="2:16" ht="15" customHeight="1">
      <c r="B29" s="16"/>
      <c r="C29" t="str">
        <f>HLOOKUP(D27,H27:J29,3,0)</f>
        <v xml:space="preserve"> </v>
      </c>
      <c r="D29" s="27"/>
      <c r="H29" s="226" t="s">
        <v>637</v>
      </c>
      <c r="I29" s="226" t="s">
        <v>638</v>
      </c>
      <c r="J29" s="226" t="s">
        <v>639</v>
      </c>
      <c r="K29" s="223"/>
      <c r="L29" s="224"/>
    </row>
    <row r="30" spans="2:16" ht="15" customHeight="1">
      <c r="B30" s="16"/>
      <c r="C30" s="2"/>
      <c r="H30" s="223"/>
      <c r="I30" s="223"/>
      <c r="J30" s="223"/>
      <c r="K30" s="223"/>
      <c r="L30" s="224"/>
    </row>
    <row r="31" spans="2:16" ht="15" customHeight="1">
      <c r="B31" s="5" t="s">
        <v>499</v>
      </c>
      <c r="C31" s="4" t="s">
        <v>584</v>
      </c>
      <c r="D31" s="29" t="s">
        <v>137</v>
      </c>
      <c r="H31" s="225" t="s">
        <v>135</v>
      </c>
      <c r="I31" s="225" t="s">
        <v>137</v>
      </c>
      <c r="J31" s="223"/>
      <c r="K31" s="223"/>
      <c r="L31" s="224"/>
    </row>
    <row r="32" spans="2:16" ht="15" customHeight="1">
      <c r="B32" s="16"/>
      <c r="C32" t="str">
        <f>HLOOKUP(D31,$H$31:$I$32,2,0)</f>
        <v>=&gt; Q(Allokation)  =  Q(D-2);  F(opt) = 1</v>
      </c>
      <c r="H32" s="226" t="s">
        <v>640</v>
      </c>
      <c r="I32" s="226" t="s">
        <v>641</v>
      </c>
      <c r="J32" s="223"/>
      <c r="K32" s="223"/>
      <c r="L32" s="224"/>
    </row>
    <row r="33" spans="2:22" ht="15" customHeight="1">
      <c r="B33" s="16"/>
      <c r="C33" t="str">
        <f>HLOOKUP(D31,$H$31:$I$33,3,0)</f>
        <v xml:space="preserve"> </v>
      </c>
      <c r="H33" s="226" t="s">
        <v>642</v>
      </c>
      <c r="I33" s="223" t="s">
        <v>637</v>
      </c>
      <c r="J33" s="223"/>
      <c r="K33" s="223"/>
      <c r="L33" s="224"/>
    </row>
    <row r="34" spans="2:22" ht="15" customHeight="1">
      <c r="B34" s="16"/>
      <c r="C34" s="2"/>
      <c r="H34" s="223"/>
      <c r="I34" s="223"/>
      <c r="J34" s="223"/>
      <c r="K34" s="223"/>
      <c r="L34" s="224"/>
    </row>
    <row r="35" spans="2:22" ht="15" customHeight="1">
      <c r="B35" s="5" t="s">
        <v>556</v>
      </c>
      <c r="C35" s="2" t="s">
        <v>501</v>
      </c>
      <c r="D35" s="220">
        <v>16</v>
      </c>
      <c r="H35" s="223"/>
      <c r="I35" s="223"/>
      <c r="J35" s="223"/>
      <c r="K35" s="223"/>
      <c r="L35" s="224"/>
    </row>
    <row r="36" spans="2:22" ht="15" customHeight="1">
      <c r="B36" s="16"/>
      <c r="C36" s="2"/>
      <c r="H36" s="223"/>
      <c r="I36" s="223"/>
      <c r="J36" s="223"/>
      <c r="K36" s="223"/>
      <c r="L36" s="224"/>
    </row>
    <row r="37" spans="2:22" ht="15" customHeight="1">
      <c r="B37" s="5" t="s">
        <v>557</v>
      </c>
      <c r="C37" s="3" t="s">
        <v>368</v>
      </c>
      <c r="D37" s="22">
        <v>1500000</v>
      </c>
      <c r="E37" t="s">
        <v>514</v>
      </c>
      <c r="I37" s="223"/>
      <c r="J37" s="223"/>
      <c r="K37" s="223"/>
      <c r="L37" s="223"/>
      <c r="M37" s="224"/>
    </row>
    <row r="38" spans="2:22" ht="15" customHeight="1">
      <c r="C38" t="s">
        <v>497</v>
      </c>
      <c r="H38" s="49"/>
      <c r="I38" s="49"/>
      <c r="J38" s="49"/>
      <c r="K38" s="49"/>
    </row>
    <row r="39" spans="2:22" ht="15" customHeight="1">
      <c r="C39" s="23"/>
      <c r="D39" s="19"/>
      <c r="H39" s="49"/>
      <c r="I39" s="49"/>
      <c r="J39" s="49"/>
      <c r="K39" s="49"/>
    </row>
    <row r="40" spans="2:22" ht="15" customHeight="1">
      <c r="B40" s="5" t="s">
        <v>558</v>
      </c>
      <c r="C40" s="3" t="s">
        <v>369</v>
      </c>
      <c r="D40" s="24">
        <v>500</v>
      </c>
      <c r="E40" t="s">
        <v>548</v>
      </c>
      <c r="H40" s="49"/>
      <c r="I40" s="49"/>
      <c r="J40" s="49"/>
      <c r="K40" s="49"/>
    </row>
    <row r="41" spans="2:22" ht="15" customHeight="1">
      <c r="C41" t="s">
        <v>498</v>
      </c>
    </row>
    <row r="42" spans="2:22" ht="15" customHeight="1">
      <c r="B42" s="5"/>
      <c r="C42" s="2"/>
    </row>
    <row r="43" spans="2:22" ht="15" customHeight="1">
      <c r="B43" s="5"/>
      <c r="C43" s="2" t="s">
        <v>547</v>
      </c>
    </row>
    <row r="44" spans="2:22" ht="18" customHeight="1">
      <c r="C44" s="2" t="s">
        <v>549</v>
      </c>
    </row>
    <row r="45" spans="2:22" ht="18" customHeight="1">
      <c r="C45" s="2"/>
    </row>
    <row r="46" spans="2:22" ht="15" customHeight="1">
      <c r="B46" s="16" t="s">
        <v>559</v>
      </c>
      <c r="C46" s="40" t="s">
        <v>583</v>
      </c>
      <c r="D46" s="29">
        <v>1</v>
      </c>
      <c r="H46" s="9">
        <v>1</v>
      </c>
      <c r="I46" s="9">
        <v>2</v>
      </c>
      <c r="J46" s="9">
        <v>3</v>
      </c>
      <c r="K46" s="9">
        <v>4</v>
      </c>
      <c r="L46" s="9">
        <v>5</v>
      </c>
      <c r="M46" s="9">
        <v>6</v>
      </c>
      <c r="N46" s="9">
        <v>7</v>
      </c>
      <c r="O46" s="9">
        <v>8</v>
      </c>
      <c r="P46" s="9">
        <v>9</v>
      </c>
      <c r="Q46" s="9">
        <v>10</v>
      </c>
      <c r="R46" s="9">
        <v>11</v>
      </c>
      <c r="S46" s="9">
        <v>12</v>
      </c>
      <c r="T46" s="9">
        <v>13</v>
      </c>
      <c r="U46" s="9">
        <v>14</v>
      </c>
      <c r="V46" s="9">
        <v>15</v>
      </c>
    </row>
    <row r="47" spans="2:22" ht="15" customHeight="1">
      <c r="B47" s="16"/>
      <c r="C47" s="2"/>
      <c r="H47" s="9">
        <f>IF(H46&lt;=$D$46,H46,"")</f>
        <v>1</v>
      </c>
      <c r="I47" s="9" t="str">
        <f t="shared" ref="I47:V47" si="0">IF(I46&lt;=$D$46,I46,"")</f>
        <v/>
      </c>
      <c r="J47" s="9" t="str">
        <f t="shared" si="0"/>
        <v/>
      </c>
      <c r="K47" s="9" t="str">
        <f t="shared" si="0"/>
        <v/>
      </c>
      <c r="L47" s="9" t="str">
        <f t="shared" si="0"/>
        <v/>
      </c>
      <c r="M47" s="9" t="str">
        <f t="shared" si="0"/>
        <v/>
      </c>
      <c r="N47" s="9" t="str">
        <f t="shared" si="0"/>
        <v/>
      </c>
      <c r="O47" s="9" t="str">
        <f t="shared" si="0"/>
        <v/>
      </c>
      <c r="P47" s="9" t="str">
        <f t="shared" si="0"/>
        <v/>
      </c>
      <c r="Q47" s="9" t="str">
        <f t="shared" si="0"/>
        <v/>
      </c>
      <c r="R47" s="9" t="str">
        <f t="shared" si="0"/>
        <v/>
      </c>
      <c r="S47" s="9" t="str">
        <f t="shared" si="0"/>
        <v/>
      </c>
      <c r="T47" s="9" t="str">
        <f t="shared" si="0"/>
        <v/>
      </c>
      <c r="U47" s="9" t="str">
        <f t="shared" si="0"/>
        <v/>
      </c>
      <c r="V47" s="9" t="str">
        <f t="shared" si="0"/>
        <v/>
      </c>
    </row>
    <row r="48" spans="2:22" ht="18" customHeight="1">
      <c r="C48" s="16" t="s">
        <v>594</v>
      </c>
      <c r="D48" s="32" t="s">
        <v>669</v>
      </c>
    </row>
    <row r="49" spans="3:4" ht="18" customHeight="1">
      <c r="C49" s="16" t="s">
        <v>595</v>
      </c>
      <c r="D49" s="32"/>
    </row>
    <row r="50" spans="3:4" ht="18" customHeight="1">
      <c r="C50" s="16" t="s">
        <v>596</v>
      </c>
      <c r="D50" s="32"/>
    </row>
    <row r="51" spans="3:4" ht="18" customHeight="1">
      <c r="C51" s="16" t="s">
        <v>597</v>
      </c>
      <c r="D51" s="32"/>
    </row>
    <row r="52" spans="3:4" ht="18" customHeight="1">
      <c r="C52" s="16" t="s">
        <v>598</v>
      </c>
      <c r="D52" s="32"/>
    </row>
    <row r="53" spans="3:4" ht="18" customHeight="1">
      <c r="C53" s="16" t="s">
        <v>599</v>
      </c>
      <c r="D53" s="32"/>
    </row>
    <row r="54" spans="3:4" ht="18" customHeight="1">
      <c r="C54" s="16" t="s">
        <v>600</v>
      </c>
      <c r="D54" s="32"/>
    </row>
    <row r="55" spans="3:4" ht="18" customHeight="1">
      <c r="C55" s="16" t="s">
        <v>601</v>
      </c>
      <c r="D55" s="32"/>
    </row>
    <row r="56" spans="3:4" ht="18" customHeight="1">
      <c r="C56" s="16" t="s">
        <v>602</v>
      </c>
      <c r="D56" s="32"/>
    </row>
    <row r="57" spans="3:4" ht="18" customHeight="1">
      <c r="C57" s="16" t="s">
        <v>603</v>
      </c>
      <c r="D57" s="32"/>
    </row>
    <row r="58" spans="3:4" ht="18" customHeight="1">
      <c r="C58" s="16" t="s">
        <v>604</v>
      </c>
      <c r="D58" s="32"/>
    </row>
    <row r="59" spans="3:4" ht="18" customHeight="1">
      <c r="C59" s="16" t="s">
        <v>605</v>
      </c>
      <c r="D59" s="32"/>
    </row>
    <row r="60" spans="3:4" ht="18" customHeight="1">
      <c r="C60" s="16" t="s">
        <v>606</v>
      </c>
      <c r="D60" s="32"/>
    </row>
    <row r="61" spans="3:4" ht="18" customHeight="1">
      <c r="C61" s="16" t="s">
        <v>607</v>
      </c>
      <c r="D61" s="32"/>
    </row>
    <row r="62" spans="3:4" ht="18" customHeight="1">
      <c r="C62" s="16" t="s">
        <v>608</v>
      </c>
      <c r="D62" s="32"/>
    </row>
  </sheetData>
  <conditionalFormatting sqref="D15">
    <cfRule type="expression" dxfId="45" priority="20">
      <formula>IF($D$11="Gaspool",1,0)</formula>
    </cfRule>
  </conditionalFormatting>
  <conditionalFormatting sqref="D16">
    <cfRule type="expression" dxfId="44" priority="17">
      <formula>IF($D$11="NCG",1,0)</formula>
    </cfRule>
  </conditionalFormatting>
  <conditionalFormatting sqref="D23">
    <cfRule type="expression" dxfId="43" priority="14">
      <formula>IF($D$22=$H$22,1,0)</formula>
    </cfRule>
  </conditionalFormatting>
  <conditionalFormatting sqref="D26:D28">
    <cfRule type="expression" dxfId="42" priority="4">
      <formula>IF($D$18="analytisch",1,0)</formula>
    </cfRule>
  </conditionalFormatting>
  <conditionalFormatting sqref="D27">
    <cfRule type="expression" dxfId="41" priority="2">
      <formula>IF($D$26="nein",1)</formula>
    </cfRule>
  </conditionalFormatting>
  <conditionalFormatting sqref="D28">
    <cfRule type="expression" dxfId="40" priority="1">
      <formula>IF(AND($D$27=$I$27,$D$26=$H$26),1,0)</formula>
    </cfRule>
  </conditionalFormatting>
  <conditionalFormatting sqref="D31">
    <cfRule type="expression" dxfId="39" priority="3">
      <formula>IF($D$18="synthetisch",1,0)</formula>
    </cfRule>
  </conditionalFormatting>
  <conditionalFormatting sqref="D48:D62">
    <cfRule type="expression" dxfId="38" priority="16">
      <formula>IF(CELL("Zeile",D48)&lt;$D$46+CELL("Zeile",$D$48),1,0)</formula>
    </cfRule>
  </conditionalFormatting>
  <conditionalFormatting sqref="D49:D62">
    <cfRule type="expression" dxfId="37" priority="15">
      <formula>IF(CELL(D49)&lt;$D$36+27,1,0)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$H$11:$J$11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tabSelected="1" topLeftCell="A14" zoomScale="70" zoomScaleNormal="70" workbookViewId="0">
      <selection activeCell="E25" sqref="E2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551</v>
      </c>
    </row>
    <row r="3" spans="1:56" ht="15" customHeight="1">
      <c r="B3" s="6"/>
    </row>
    <row r="4" spans="1:56">
      <c r="C4" s="40" t="s">
        <v>450</v>
      </c>
      <c r="D4" s="41"/>
      <c r="E4" s="42" t="str">
        <f>Netzbetreiber!D9</f>
        <v>Bayerische Rhöngas GmbH</v>
      </c>
    </row>
    <row r="5" spans="1:56">
      <c r="C5" s="40" t="s">
        <v>449</v>
      </c>
      <c r="D5" s="41"/>
      <c r="E5" s="42" t="str">
        <f>Netzbetreiber!D28</f>
        <v>THE H-Gas</v>
      </c>
    </row>
    <row r="6" spans="1:56">
      <c r="C6" s="40" t="s">
        <v>493</v>
      </c>
      <c r="D6" s="41"/>
      <c r="E6" s="44" t="str">
        <f>Netzbetreiber!D11</f>
        <v>9870043600005</v>
      </c>
    </row>
    <row r="7" spans="1:56">
      <c r="C7" s="40" t="s">
        <v>134</v>
      </c>
      <c r="D7" s="41"/>
      <c r="E7" s="35">
        <v>42278</v>
      </c>
    </row>
    <row r="8" spans="1:56">
      <c r="H8" s="68" t="s">
        <v>503</v>
      </c>
    </row>
    <row r="9" spans="1:56">
      <c r="C9" s="40" t="s">
        <v>529</v>
      </c>
      <c r="F9" s="127">
        <f>'SLP-Verfahren'!D46</f>
        <v>1</v>
      </c>
      <c r="H9" s="141" t="s">
        <v>609</v>
      </c>
    </row>
    <row r="10" spans="1:56">
      <c r="C10" s="40" t="s">
        <v>593</v>
      </c>
      <c r="F10" s="247">
        <v>1</v>
      </c>
      <c r="G10" s="41"/>
      <c r="H10" s="141" t="s">
        <v>610</v>
      </c>
    </row>
    <row r="11" spans="1:56">
      <c r="C11" s="40" t="s">
        <v>611</v>
      </c>
      <c r="F11" s="245" t="str">
        <f>INDEX('SLP-Verfahren'!D48:D62,'SLP-Temp-Gebiet #01'!F10)</f>
        <v>Bad Kissingen</v>
      </c>
      <c r="G11" s="248"/>
      <c r="H11" s="68"/>
    </row>
    <row r="12" spans="1:56"/>
    <row r="13" spans="1:56" ht="18" customHeight="1">
      <c r="C13" s="286" t="s">
        <v>592</v>
      </c>
      <c r="D13" s="286"/>
      <c r="E13" s="286"/>
      <c r="F13" s="16" t="s">
        <v>555</v>
      </c>
      <c r="G13" t="s">
        <v>553</v>
      </c>
      <c r="H13" s="217" t="s">
        <v>570</v>
      </c>
      <c r="I13" s="41"/>
    </row>
    <row r="14" spans="1:56" ht="19.5" customHeight="1">
      <c r="C14" s="287" t="s">
        <v>453</v>
      </c>
      <c r="D14" s="287"/>
      <c r="E14" s="5" t="s">
        <v>454</v>
      </c>
      <c r="F14" s="218"/>
      <c r="G14" s="219"/>
      <c r="H14" s="36"/>
      <c r="I14" s="41"/>
      <c r="O14" s="142" t="s">
        <v>534</v>
      </c>
      <c r="R14" s="49" t="s">
        <v>571</v>
      </c>
      <c r="S14" s="49" t="s">
        <v>572</v>
      </c>
      <c r="T14" s="49" t="s">
        <v>573</v>
      </c>
      <c r="U14" s="49" t="s">
        <v>574</v>
      </c>
      <c r="V14" s="49" t="s">
        <v>554</v>
      </c>
      <c r="W14" s="49" t="s">
        <v>575</v>
      </c>
      <c r="X14" s="49" t="s">
        <v>576</v>
      </c>
      <c r="Y14" s="49" t="s">
        <v>577</v>
      </c>
      <c r="Z14" s="49" t="s">
        <v>578</v>
      </c>
      <c r="AA14" s="49" t="s">
        <v>579</v>
      </c>
      <c r="AB14" s="49" t="s">
        <v>580</v>
      </c>
      <c r="AC14" s="49" t="s">
        <v>581</v>
      </c>
    </row>
    <row r="15" spans="1:56" ht="19.5" customHeight="1">
      <c r="C15" s="287" t="s">
        <v>390</v>
      </c>
      <c r="D15" s="287"/>
      <c r="E15" s="5" t="s">
        <v>454</v>
      </c>
      <c r="F15" s="218"/>
      <c r="G15" s="219"/>
      <c r="H15" s="36"/>
      <c r="I15" s="41"/>
      <c r="O15" s="133"/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373</v>
      </c>
      <c r="AH15" s="216" t="s">
        <v>499</v>
      </c>
      <c r="AI15" s="216" t="s">
        <v>556</v>
      </c>
      <c r="AJ15" s="216" t="s">
        <v>557</v>
      </c>
      <c r="AK15" s="216" t="s">
        <v>558</v>
      </c>
      <c r="AL15" s="216" t="s">
        <v>559</v>
      </c>
      <c r="AM15" s="216" t="s">
        <v>560</v>
      </c>
      <c r="AN15" s="216" t="s">
        <v>561</v>
      </c>
      <c r="AO15" s="216" t="s">
        <v>562</v>
      </c>
      <c r="AP15" s="216" t="s">
        <v>563</v>
      </c>
      <c r="AQ15" s="216" t="s">
        <v>564</v>
      </c>
      <c r="AR15" s="216" t="s">
        <v>565</v>
      </c>
      <c r="AS15" s="216" t="s">
        <v>566</v>
      </c>
      <c r="AT15" s="216" t="s">
        <v>567</v>
      </c>
      <c r="AU15" s="216" t="s">
        <v>568</v>
      </c>
      <c r="AV15" s="216" t="s">
        <v>569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1"/>
      <c r="R16" s="169"/>
      <c r="S16" s="169"/>
    </row>
    <row r="17" spans="2:20" ht="19.5" customHeight="1">
      <c r="B17" s="144" t="s">
        <v>524</v>
      </c>
      <c r="D17" s="143"/>
      <c r="R17" s="169"/>
      <c r="S17" s="169"/>
    </row>
    <row r="18" spans="2:20">
      <c r="C18" s="40" t="s">
        <v>530</v>
      </c>
      <c r="F18" s="34">
        <v>1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525</v>
      </c>
      <c r="D20" s="146" t="s">
        <v>521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0">
      <c r="B21" s="16"/>
      <c r="C21" s="149" t="s">
        <v>532</v>
      </c>
      <c r="D21" s="126" t="s">
        <v>523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544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0">
      <c r="B23" s="16"/>
      <c r="C23" s="149" t="s">
        <v>138</v>
      </c>
      <c r="D23" s="152"/>
      <c r="E23" s="129" t="s">
        <v>510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9" t="s">
        <v>140</v>
      </c>
      <c r="S23" s="49" t="s">
        <v>510</v>
      </c>
      <c r="T23" s="246">
        <f>O15</f>
        <v>0</v>
      </c>
    </row>
    <row r="24" spans="2:20">
      <c r="B24" s="16"/>
      <c r="C24" s="149" t="s">
        <v>527</v>
      </c>
      <c r="D24" s="152"/>
      <c r="E24" s="129" t="s">
        <v>669</v>
      </c>
      <c r="F24" s="129" t="s">
        <v>589</v>
      </c>
      <c r="G24" s="129"/>
      <c r="H24" s="129"/>
      <c r="I24" s="129"/>
      <c r="J24" s="129"/>
      <c r="K24" s="129"/>
      <c r="L24" s="129"/>
      <c r="M24" s="129"/>
      <c r="N24" s="129"/>
      <c r="O24" s="150" t="s">
        <v>528</v>
      </c>
      <c r="Q24" s="170"/>
    </row>
    <row r="25" spans="2:20">
      <c r="B25" s="16"/>
      <c r="C25" s="149" t="s">
        <v>522</v>
      </c>
      <c r="D25" s="152"/>
      <c r="E25" s="129">
        <v>106580</v>
      </c>
      <c r="F25" s="129" t="s">
        <v>366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9" t="s">
        <v>139</v>
      </c>
    </row>
    <row r="26" spans="2:20">
      <c r="B26" s="16"/>
      <c r="C26" s="149" t="s">
        <v>142</v>
      </c>
      <c r="D26" s="152"/>
      <c r="E26" s="129" t="s">
        <v>512</v>
      </c>
      <c r="F26" s="129" t="s">
        <v>511</v>
      </c>
      <c r="G26" s="129"/>
      <c r="H26" s="129"/>
      <c r="I26" s="129"/>
      <c r="J26" s="129"/>
      <c r="K26" s="129"/>
      <c r="L26" s="129"/>
      <c r="M26" s="129"/>
      <c r="N26" s="129"/>
      <c r="O26" s="150" t="s">
        <v>143</v>
      </c>
      <c r="Q26" s="170"/>
      <c r="R26" s="49" t="s">
        <v>511</v>
      </c>
      <c r="S26" s="49" t="s">
        <v>512</v>
      </c>
    </row>
    <row r="27" spans="2:20">
      <c r="B27" s="16"/>
      <c r="C27" s="153"/>
      <c r="Q27" s="170"/>
    </row>
    <row r="28" spans="2:20">
      <c r="C28" s="40" t="s">
        <v>526</v>
      </c>
      <c r="F28" s="34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141</v>
      </c>
      <c r="D30" s="146" t="s">
        <v>257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145</v>
      </c>
      <c r="Q30" s="170"/>
    </row>
    <row r="31" spans="2:20">
      <c r="B31" s="16"/>
      <c r="C31" s="149" t="s">
        <v>533</v>
      </c>
      <c r="D31" s="151" t="s">
        <v>256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>
      <c r="B32" s="16"/>
      <c r="C32" s="149" t="s">
        <v>540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146</v>
      </c>
      <c r="Q32" s="170"/>
    </row>
    <row r="33" spans="2:28">
      <c r="B33" s="16"/>
      <c r="C33" s="149" t="s">
        <v>364</v>
      </c>
      <c r="D33" s="126" t="s">
        <v>363</v>
      </c>
      <c r="E33" s="129" t="s">
        <v>3</v>
      </c>
      <c r="F33" s="129" t="s">
        <v>362</v>
      </c>
      <c r="G33" s="129" t="s">
        <v>353</v>
      </c>
      <c r="H33" s="129" t="s">
        <v>354</v>
      </c>
      <c r="I33" s="129"/>
      <c r="J33" s="129"/>
      <c r="K33" s="129"/>
      <c r="L33" s="129"/>
      <c r="M33" s="129"/>
      <c r="N33" s="129"/>
      <c r="O33" s="150" t="s">
        <v>143</v>
      </c>
      <c r="Q33" s="170"/>
      <c r="R33" s="49" t="s">
        <v>3</v>
      </c>
      <c r="S33" s="49" t="s">
        <v>362</v>
      </c>
      <c r="T33" s="49" t="s">
        <v>353</v>
      </c>
      <c r="U33" s="49" t="s">
        <v>354</v>
      </c>
      <c r="V33" s="49" t="s">
        <v>355</v>
      </c>
      <c r="W33" s="49" t="s">
        <v>356</v>
      </c>
      <c r="X33" s="49" t="s">
        <v>357</v>
      </c>
      <c r="Y33" s="49" t="s">
        <v>358</v>
      </c>
      <c r="Z33" s="49" t="s">
        <v>359</v>
      </c>
      <c r="AA33" s="49" t="s">
        <v>360</v>
      </c>
      <c r="AB33" s="49" t="s">
        <v>361</v>
      </c>
    </row>
    <row r="34" spans="2:28">
      <c r="B34" s="16"/>
      <c r="C34" s="149" t="s">
        <v>456</v>
      </c>
      <c r="D34" s="126" t="s">
        <v>455</v>
      </c>
      <c r="E34" s="129" t="s">
        <v>519</v>
      </c>
      <c r="F34" s="129" t="s">
        <v>519</v>
      </c>
      <c r="G34" s="129" t="s">
        <v>519</v>
      </c>
      <c r="H34" s="129" t="s">
        <v>519</v>
      </c>
      <c r="I34" s="134"/>
      <c r="J34" s="134"/>
      <c r="K34" s="134"/>
      <c r="L34" s="134"/>
      <c r="M34" s="134"/>
      <c r="N34" s="134"/>
      <c r="O34" s="150" t="s">
        <v>143</v>
      </c>
      <c r="Q34" s="170"/>
      <c r="R34" s="49" t="s">
        <v>519</v>
      </c>
      <c r="S34" s="49" t="s">
        <v>520</v>
      </c>
    </row>
    <row r="35" spans="2:28">
      <c r="B35" s="16"/>
      <c r="C35" s="149" t="s">
        <v>613</v>
      </c>
      <c r="D35" s="126" t="s">
        <v>614</v>
      </c>
      <c r="E35" s="129" t="s">
        <v>612</v>
      </c>
      <c r="F35" s="129" t="s">
        <v>612</v>
      </c>
      <c r="G35" s="129" t="s">
        <v>612</v>
      </c>
      <c r="H35" s="129" t="s">
        <v>612</v>
      </c>
      <c r="I35" s="129" t="s">
        <v>612</v>
      </c>
      <c r="J35" s="129" t="s">
        <v>612</v>
      </c>
      <c r="K35" s="129" t="s">
        <v>612</v>
      </c>
      <c r="L35" s="129" t="s">
        <v>612</v>
      </c>
      <c r="M35" s="129" t="s">
        <v>612</v>
      </c>
      <c r="N35" s="129" t="s">
        <v>612</v>
      </c>
      <c r="O35" s="150" t="s">
        <v>143</v>
      </c>
      <c r="Q35" s="170"/>
      <c r="R35" s="49" t="s">
        <v>612</v>
      </c>
      <c r="S35" s="49" t="s">
        <v>615</v>
      </c>
      <c r="T35" s="41"/>
    </row>
    <row r="36" spans="2:28">
      <c r="B36" s="16"/>
      <c r="C36" s="152" t="s">
        <v>448</v>
      </c>
      <c r="D36" s="96" t="s">
        <v>545</v>
      </c>
      <c r="E36" s="134" t="s">
        <v>457</v>
      </c>
      <c r="F36" s="134" t="s">
        <v>457</v>
      </c>
      <c r="G36" s="134" t="s">
        <v>458</v>
      </c>
      <c r="H36" s="134" t="s">
        <v>458</v>
      </c>
      <c r="I36" s="134"/>
      <c r="J36" s="134"/>
      <c r="K36" s="134"/>
      <c r="L36" s="134"/>
      <c r="M36" s="134"/>
      <c r="N36" s="134"/>
      <c r="O36" s="150" t="s">
        <v>143</v>
      </c>
      <c r="Q36" s="170"/>
      <c r="R36" s="49" t="s">
        <v>458</v>
      </c>
      <c r="S36" s="49" t="s">
        <v>457</v>
      </c>
    </row>
    <row r="37" spans="2:28" ht="15.75" thickBot="1"/>
    <row r="38" spans="2:28">
      <c r="C38" s="155" t="s">
        <v>272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352</v>
      </c>
      <c r="D39" s="159"/>
      <c r="E39" s="159" t="s">
        <v>538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539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531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536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537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542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543</v>
      </c>
      <c r="D46" s="162" t="s">
        <v>541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365</v>
      </c>
      <c r="K46" s="159"/>
      <c r="L46" s="159"/>
      <c r="M46" s="159"/>
      <c r="N46" s="159"/>
      <c r="O46" s="160"/>
    </row>
    <row r="47" spans="2:28">
      <c r="C47" s="161" t="s">
        <v>351</v>
      </c>
      <c r="D47" s="162" t="s">
        <v>541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365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586</v>
      </c>
    </row>
    <row r="51" spans="2:15">
      <c r="I51" s="1"/>
    </row>
    <row r="52" spans="2:15">
      <c r="C52" s="40" t="s">
        <v>550</v>
      </c>
      <c r="F52" s="130">
        <f>F18</f>
        <v>1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0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525</v>
      </c>
      <c r="D54" s="146" t="s">
        <v>521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145</v>
      </c>
    </row>
    <row r="55" spans="2:15">
      <c r="B55" s="16"/>
      <c r="C55" s="149" t="s">
        <v>532</v>
      </c>
      <c r="D55" s="126" t="s">
        <v>523</v>
      </c>
      <c r="E55" s="238">
        <f>1-SUMPRODUCT(F53:N53,F55:N55)</f>
        <v>1</v>
      </c>
      <c r="F55" s="238">
        <f>ROUND(F56/$D$56,4)</f>
        <v>1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>
      <c r="B56" s="16"/>
      <c r="C56" s="149" t="s">
        <v>544</v>
      </c>
      <c r="D56" s="151">
        <f>SUMPRODUCT(E56:N56,E53:N53)</f>
        <v>1</v>
      </c>
      <c r="E56" s="239">
        <f>E22</f>
        <v>1</v>
      </c>
      <c r="F56" s="239">
        <f t="shared" ref="F56:N56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146</v>
      </c>
    </row>
    <row r="57" spans="2:15">
      <c r="B57" s="16"/>
      <c r="C57" s="149" t="s">
        <v>138</v>
      </c>
      <c r="D57" s="152"/>
      <c r="E57" s="129" t="str">
        <f>E23</f>
        <v>MeteoGroup</v>
      </c>
      <c r="F57" s="129" t="str">
        <f t="shared" ref="F57:N57" si="7">F23</f>
        <v>DWD</v>
      </c>
      <c r="G57" s="129" t="str">
        <f t="shared" si="7"/>
        <v>DWD</v>
      </c>
      <c r="H57" s="129" t="str">
        <f t="shared" si="7"/>
        <v>DWD</v>
      </c>
      <c r="I57" s="129" t="str">
        <f t="shared" si="7"/>
        <v>DWD</v>
      </c>
      <c r="J57" s="129" t="str">
        <f t="shared" si="7"/>
        <v>DWD</v>
      </c>
      <c r="K57" s="129" t="str">
        <f t="shared" si="7"/>
        <v>DWD</v>
      </c>
      <c r="L57" s="129" t="str">
        <f t="shared" si="7"/>
        <v>DWD</v>
      </c>
      <c r="M57" s="129" t="str">
        <f t="shared" si="7"/>
        <v>DWD</v>
      </c>
      <c r="N57" s="129" t="str">
        <f t="shared" si="7"/>
        <v>DWD</v>
      </c>
      <c r="O57" s="150" t="s">
        <v>143</v>
      </c>
    </row>
    <row r="58" spans="2:15">
      <c r="B58" s="16"/>
      <c r="C58" s="149" t="s">
        <v>527</v>
      </c>
      <c r="D58" s="152"/>
      <c r="E58" s="129" t="str">
        <f>E24</f>
        <v>Bad Kissingen</v>
      </c>
      <c r="F58" s="129" t="str">
        <f t="shared" ref="F58:N58" si="8">F24</f>
        <v>DEF-St.</v>
      </c>
      <c r="G58" s="129">
        <f t="shared" si="8"/>
        <v>0</v>
      </c>
      <c r="H58" s="129">
        <f t="shared" si="8"/>
        <v>0</v>
      </c>
      <c r="I58" s="129">
        <f t="shared" si="8"/>
        <v>0</v>
      </c>
      <c r="J58" s="129">
        <f t="shared" si="8"/>
        <v>0</v>
      </c>
      <c r="K58" s="129">
        <f t="shared" si="8"/>
        <v>0</v>
      </c>
      <c r="L58" s="129">
        <f t="shared" si="8"/>
        <v>0</v>
      </c>
      <c r="M58" s="129">
        <f t="shared" si="8"/>
        <v>0</v>
      </c>
      <c r="N58" s="129">
        <f t="shared" si="8"/>
        <v>0</v>
      </c>
      <c r="O58" s="150" t="s">
        <v>528</v>
      </c>
    </row>
    <row r="59" spans="2:15">
      <c r="B59" s="16"/>
      <c r="C59" s="149" t="s">
        <v>522</v>
      </c>
      <c r="D59" s="152"/>
      <c r="E59" s="129">
        <f>E25</f>
        <v>106580</v>
      </c>
      <c r="F59" s="129" t="str">
        <f t="shared" ref="F59:N59" si="9">F25</f>
        <v>xxxxx</v>
      </c>
      <c r="G59" s="129">
        <f t="shared" si="9"/>
        <v>0</v>
      </c>
      <c r="H59" s="129">
        <f t="shared" si="9"/>
        <v>0</v>
      </c>
      <c r="I59" s="129">
        <f t="shared" si="9"/>
        <v>0</v>
      </c>
      <c r="J59" s="129">
        <f t="shared" si="9"/>
        <v>0</v>
      </c>
      <c r="K59" s="129">
        <f t="shared" si="9"/>
        <v>0</v>
      </c>
      <c r="L59" s="129">
        <f t="shared" si="9"/>
        <v>0</v>
      </c>
      <c r="M59" s="129">
        <f t="shared" si="9"/>
        <v>0</v>
      </c>
      <c r="N59" s="129">
        <f t="shared" si="9"/>
        <v>0</v>
      </c>
      <c r="O59" s="150" t="s">
        <v>144</v>
      </c>
    </row>
    <row r="60" spans="2:15">
      <c r="B60" s="16"/>
      <c r="C60" s="149" t="s">
        <v>142</v>
      </c>
      <c r="D60" s="152"/>
      <c r="E60" s="131" t="str">
        <f>E26</f>
        <v>Sonstiges</v>
      </c>
      <c r="F60" s="131" t="str">
        <f t="shared" ref="F60:N60" si="10">F26</f>
        <v>Temp. (2m)</v>
      </c>
      <c r="G60" s="131">
        <f t="shared" si="10"/>
        <v>0</v>
      </c>
      <c r="H60" s="131">
        <f t="shared" si="10"/>
        <v>0</v>
      </c>
      <c r="I60" s="131">
        <f t="shared" si="10"/>
        <v>0</v>
      </c>
      <c r="J60" s="131">
        <f t="shared" si="10"/>
        <v>0</v>
      </c>
      <c r="K60" s="131">
        <f t="shared" si="10"/>
        <v>0</v>
      </c>
      <c r="L60" s="131">
        <f t="shared" si="10"/>
        <v>0</v>
      </c>
      <c r="M60" s="131">
        <f t="shared" si="10"/>
        <v>0</v>
      </c>
      <c r="N60" s="131">
        <f t="shared" si="10"/>
        <v>0</v>
      </c>
      <c r="O60" s="150" t="s">
        <v>143</v>
      </c>
    </row>
    <row r="61" spans="2:15"/>
    <row r="62" spans="2:15">
      <c r="C62" s="40" t="s">
        <v>526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11">IF(F64&gt;$F$62,0,1)</f>
        <v>1</v>
      </c>
      <c r="G63" s="27">
        <f t="shared" si="11"/>
        <v>1</v>
      </c>
      <c r="H63" s="27">
        <f t="shared" si="11"/>
        <v>1</v>
      </c>
      <c r="I63" s="27">
        <f t="shared" si="11"/>
        <v>0</v>
      </c>
      <c r="J63" s="27">
        <f t="shared" si="11"/>
        <v>0</v>
      </c>
      <c r="K63" s="27">
        <f t="shared" si="11"/>
        <v>0</v>
      </c>
      <c r="L63" s="27">
        <f t="shared" si="11"/>
        <v>0</v>
      </c>
      <c r="M63" s="27">
        <f t="shared" si="11"/>
        <v>0</v>
      </c>
      <c r="N63" s="27">
        <f t="shared" si="11"/>
        <v>0</v>
      </c>
    </row>
    <row r="64" spans="2:15" ht="18" customHeight="1">
      <c r="C64" s="145" t="s">
        <v>141</v>
      </c>
      <c r="D64" s="146" t="s">
        <v>257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145</v>
      </c>
    </row>
    <row r="65" spans="2:15">
      <c r="B65" s="16"/>
      <c r="C65" s="149" t="s">
        <v>533</v>
      </c>
      <c r="D65" s="151" t="s">
        <v>256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12">ROUND(G66/$D$66,4)</f>
        <v>0.1333</v>
      </c>
      <c r="H65" s="238">
        <f t="shared" si="12"/>
        <v>6.6699999999999995E-2</v>
      </c>
      <c r="I65" s="238">
        <f t="shared" si="12"/>
        <v>0</v>
      </c>
      <c r="J65" s="238">
        <f t="shared" si="12"/>
        <v>0</v>
      </c>
      <c r="K65" s="238">
        <f t="shared" si="12"/>
        <v>0</v>
      </c>
      <c r="L65" s="238">
        <f t="shared" si="12"/>
        <v>0</v>
      </c>
      <c r="M65" s="238">
        <f t="shared" si="12"/>
        <v>0</v>
      </c>
      <c r="N65" s="238">
        <f t="shared" si="12"/>
        <v>0</v>
      </c>
      <c r="O65" s="150"/>
    </row>
    <row r="66" spans="2:15">
      <c r="B66" s="16"/>
      <c r="C66" s="149" t="s">
        <v>540</v>
      </c>
      <c r="D66" s="151">
        <f>SUMPRODUCT(E66:N66,E63:N63)</f>
        <v>1.875</v>
      </c>
      <c r="E66" s="244">
        <f>E32</f>
        <v>1</v>
      </c>
      <c r="F66" s="244">
        <f t="shared" ref="F66:N66" si="13">F32</f>
        <v>0.5</v>
      </c>
      <c r="G66" s="244">
        <f t="shared" si="13"/>
        <v>0.25</v>
      </c>
      <c r="H66" s="244">
        <f t="shared" si="13"/>
        <v>0.125</v>
      </c>
      <c r="I66" s="244">
        <f t="shared" si="13"/>
        <v>0</v>
      </c>
      <c r="J66" s="244">
        <f t="shared" si="13"/>
        <v>0</v>
      </c>
      <c r="K66" s="244">
        <f t="shared" si="13"/>
        <v>0</v>
      </c>
      <c r="L66" s="244">
        <f t="shared" si="13"/>
        <v>0</v>
      </c>
      <c r="M66" s="244">
        <f t="shared" si="13"/>
        <v>0</v>
      </c>
      <c r="N66" s="244">
        <f t="shared" si="13"/>
        <v>0</v>
      </c>
      <c r="O66" s="150" t="s">
        <v>146</v>
      </c>
    </row>
    <row r="67" spans="2:15">
      <c r="B67" s="16"/>
      <c r="C67" s="149" t="s">
        <v>364</v>
      </c>
      <c r="D67" s="126" t="s">
        <v>363</v>
      </c>
      <c r="E67" s="129" t="str">
        <f>E33</f>
        <v>D</v>
      </c>
      <c r="F67" s="129" t="str">
        <f t="shared" ref="F67:N67" si="14">F33</f>
        <v>D-1</v>
      </c>
      <c r="G67" s="129" t="str">
        <f t="shared" si="14"/>
        <v>D-2</v>
      </c>
      <c r="H67" s="129" t="str">
        <f t="shared" si="14"/>
        <v>D-3</v>
      </c>
      <c r="I67" s="129">
        <f t="shared" si="14"/>
        <v>0</v>
      </c>
      <c r="J67" s="129">
        <f t="shared" si="14"/>
        <v>0</v>
      </c>
      <c r="K67" s="129">
        <f t="shared" si="14"/>
        <v>0</v>
      </c>
      <c r="L67" s="129">
        <f t="shared" si="14"/>
        <v>0</v>
      </c>
      <c r="M67" s="129">
        <f t="shared" si="14"/>
        <v>0</v>
      </c>
      <c r="N67" s="129">
        <f t="shared" si="14"/>
        <v>0</v>
      </c>
      <c r="O67" s="150" t="s">
        <v>143</v>
      </c>
    </row>
    <row r="68" spans="2:15">
      <c r="B68" s="16"/>
      <c r="C68" s="149" t="s">
        <v>456</v>
      </c>
      <c r="D68" s="126" t="s">
        <v>455</v>
      </c>
      <c r="E68" s="132" t="str">
        <f>E34</f>
        <v>Gastag</v>
      </c>
      <c r="F68" s="132" t="str">
        <f t="shared" ref="F68:N68" si="15">F34</f>
        <v>Gastag</v>
      </c>
      <c r="G68" s="132" t="str">
        <f t="shared" si="15"/>
        <v>Gastag</v>
      </c>
      <c r="H68" s="132" t="str">
        <f t="shared" si="15"/>
        <v>Gastag</v>
      </c>
      <c r="I68" s="134">
        <f t="shared" si="15"/>
        <v>0</v>
      </c>
      <c r="J68" s="134">
        <f t="shared" si="15"/>
        <v>0</v>
      </c>
      <c r="K68" s="134">
        <f t="shared" si="15"/>
        <v>0</v>
      </c>
      <c r="L68" s="134">
        <f t="shared" si="15"/>
        <v>0</v>
      </c>
      <c r="M68" s="134">
        <f t="shared" si="15"/>
        <v>0</v>
      </c>
      <c r="N68" s="134">
        <f t="shared" si="15"/>
        <v>0</v>
      </c>
      <c r="O68" s="150" t="s">
        <v>143</v>
      </c>
    </row>
    <row r="69" spans="2:15">
      <c r="B69" s="16"/>
      <c r="C69" s="149" t="s">
        <v>613</v>
      </c>
      <c r="D69" s="126" t="s">
        <v>614</v>
      </c>
      <c r="E69" s="132" t="str">
        <f>E35</f>
        <v>CET/CEST</v>
      </c>
      <c r="F69" s="132" t="str">
        <f t="shared" ref="F69:N69" si="16">F35</f>
        <v>CET/CEST</v>
      </c>
      <c r="G69" s="132" t="str">
        <f t="shared" si="16"/>
        <v>CET/CEST</v>
      </c>
      <c r="H69" s="132" t="str">
        <f t="shared" si="16"/>
        <v>CET/CEST</v>
      </c>
      <c r="I69" s="134" t="str">
        <f t="shared" si="16"/>
        <v>CET/CEST</v>
      </c>
      <c r="J69" s="134" t="str">
        <f t="shared" si="16"/>
        <v>CET/CEST</v>
      </c>
      <c r="K69" s="134" t="str">
        <f t="shared" si="16"/>
        <v>CET/CEST</v>
      </c>
      <c r="L69" s="134" t="str">
        <f t="shared" si="16"/>
        <v>CET/CEST</v>
      </c>
      <c r="M69" s="134" t="str">
        <f t="shared" si="16"/>
        <v>CET/CEST</v>
      </c>
      <c r="N69" s="134" t="str">
        <f t="shared" si="16"/>
        <v>CET/CEST</v>
      </c>
      <c r="O69" s="150" t="s">
        <v>143</v>
      </c>
    </row>
    <row r="70" spans="2:15">
      <c r="B70" s="16"/>
      <c r="C70" s="152" t="s">
        <v>448</v>
      </c>
      <c r="D70" s="96" t="s">
        <v>545</v>
      </c>
      <c r="E70" s="135" t="s">
        <v>458</v>
      </c>
      <c r="F70" s="135" t="s">
        <v>458</v>
      </c>
      <c r="G70" s="135" t="str">
        <f t="shared" ref="G70:N70" si="17">G36</f>
        <v>Temp.-IST</v>
      </c>
      <c r="H70" s="135" t="str">
        <f t="shared" si="17"/>
        <v>Temp.-IST</v>
      </c>
      <c r="I70" s="135">
        <f t="shared" si="17"/>
        <v>0</v>
      </c>
      <c r="J70" s="135">
        <f t="shared" si="17"/>
        <v>0</v>
      </c>
      <c r="K70" s="135">
        <f t="shared" si="17"/>
        <v>0</v>
      </c>
      <c r="L70" s="135">
        <f t="shared" si="17"/>
        <v>0</v>
      </c>
      <c r="M70" s="135">
        <f t="shared" si="17"/>
        <v>0</v>
      </c>
      <c r="N70" s="135">
        <f t="shared" si="17"/>
        <v>0</v>
      </c>
      <c r="O70" s="150" t="s">
        <v>143</v>
      </c>
    </row>
    <row r="71" spans="2:15"/>
    <row r="72" spans="2:15" ht="15.75" customHeight="1">
      <c r="C72" s="288" t="s">
        <v>587</v>
      </c>
      <c r="D72" s="288"/>
      <c r="E72" s="288"/>
      <c r="F72" s="288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36" priority="26">
      <formula>IF(E$20&lt;=$F$18,1,0)</formula>
    </cfRule>
  </conditionalFormatting>
  <conditionalFormatting sqref="E21:N26">
    <cfRule type="expression" dxfId="35" priority="11">
      <formula>IF(E$20&gt;$F$18,1,0)</formula>
    </cfRule>
  </conditionalFormatting>
  <conditionalFormatting sqref="E22:N25">
    <cfRule type="expression" dxfId="34" priority="28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1:N36">
    <cfRule type="expression" dxfId="32" priority="7">
      <formula>IF(E$30&gt;$F$28,1,0)</formula>
    </cfRule>
  </conditionalFormatting>
  <conditionalFormatting sqref="E32:N36">
    <cfRule type="expression" dxfId="31" priority="27">
      <formula>IF(E$30&lt;=$F$28,1,0)</formula>
    </cfRule>
  </conditionalFormatting>
  <conditionalFormatting sqref="E55:N60">
    <cfRule type="expression" dxfId="30" priority="8">
      <formula>IF(E$54&gt;$F$52,1,0)</formula>
    </cfRule>
  </conditionalFormatting>
  <conditionalFormatting sqref="E56:N59">
    <cfRule type="expression" dxfId="29" priority="22">
      <formula>IF(E$54&lt;=$F$52,1,0)</formula>
    </cfRule>
  </conditionalFormatting>
  <conditionalFormatting sqref="E60:N60">
    <cfRule type="expression" dxfId="28" priority="21">
      <formula>IF(E$54&lt;=$F$52,1,0)</formula>
    </cfRule>
  </conditionalFormatting>
  <conditionalFormatting sqref="E65:N70">
    <cfRule type="expression" dxfId="27" priority="1">
      <formula>IF(E$64&gt;$F$62,1,0)</formula>
    </cfRule>
  </conditionalFormatting>
  <conditionalFormatting sqref="E66:N69">
    <cfRule type="expression" dxfId="26" priority="2">
      <formula>IF(E$64&lt;=$F$62,1,0)</formula>
    </cfRule>
  </conditionalFormatting>
  <conditionalFormatting sqref="E70:N70">
    <cfRule type="expression" dxfId="25" priority="6">
      <formula>IF(E$64&lt;=$F$62,1,0)</formula>
    </cfRule>
  </conditionalFormatting>
  <conditionalFormatting sqref="H8:H11">
    <cfRule type="expression" dxfId="24" priority="5">
      <formula>IF($F$9=1,1,0)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F26:N26 E56:N60 E22:F22 I22:N22 F52 F62 G24:N24 G70:N70 E32:N34 E69:N69 F25:N2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551</v>
      </c>
    </row>
    <row r="3" spans="1:56" ht="15" customHeight="1">
      <c r="B3" s="6"/>
    </row>
    <row r="4" spans="1:56">
      <c r="C4" s="40" t="s">
        <v>450</v>
      </c>
      <c r="D4" s="41"/>
      <c r="E4" s="42" t="s">
        <v>492</v>
      </c>
    </row>
    <row r="5" spans="1:56">
      <c r="C5" s="40" t="s">
        <v>449</v>
      </c>
      <c r="D5" s="41"/>
      <c r="E5" s="42" t="str">
        <f>Netzbetreiber!D28</f>
        <v>THE H-Gas</v>
      </c>
    </row>
    <row r="6" spans="1:56">
      <c r="C6" s="40" t="s">
        <v>493</v>
      </c>
      <c r="D6" s="41"/>
      <c r="E6" s="44">
        <v>123456789</v>
      </c>
    </row>
    <row r="7" spans="1:56">
      <c r="C7" s="40" t="s">
        <v>134</v>
      </c>
      <c r="D7" s="41"/>
      <c r="E7" s="35">
        <v>42278</v>
      </c>
    </row>
    <row r="8" spans="1:56">
      <c r="H8" s="68" t="s">
        <v>503</v>
      </c>
    </row>
    <row r="9" spans="1:56">
      <c r="C9" s="40" t="s">
        <v>529</v>
      </c>
      <c r="F9" s="127">
        <f>'SLP-Verfahren'!D46</f>
        <v>1</v>
      </c>
      <c r="H9" s="141" t="s">
        <v>609</v>
      </c>
    </row>
    <row r="10" spans="1:56">
      <c r="C10" s="40" t="s">
        <v>593</v>
      </c>
      <c r="F10" s="247">
        <v>2</v>
      </c>
      <c r="G10" s="41"/>
      <c r="H10" s="141" t="s">
        <v>610</v>
      </c>
    </row>
    <row r="11" spans="1:56">
      <c r="C11" s="40" t="s">
        <v>611</v>
      </c>
      <c r="F11" s="245">
        <f>INDEX('SLP-Verfahren'!D48:D62,'SLP-Temp-Gebiet #02'!F10)</f>
        <v>0</v>
      </c>
      <c r="G11" s="248"/>
      <c r="H11" s="68"/>
    </row>
    <row r="12" spans="1:56"/>
    <row r="13" spans="1:56" ht="18" customHeight="1">
      <c r="C13" s="286" t="s">
        <v>592</v>
      </c>
      <c r="D13" s="286"/>
      <c r="E13" s="286"/>
      <c r="F13" s="16" t="s">
        <v>555</v>
      </c>
      <c r="G13" t="s">
        <v>553</v>
      </c>
      <c r="H13" s="217" t="s">
        <v>570</v>
      </c>
      <c r="I13" s="41"/>
    </row>
    <row r="14" spans="1:56" ht="19.5" customHeight="1">
      <c r="C14" s="287" t="s">
        <v>453</v>
      </c>
      <c r="D14" s="287"/>
      <c r="E14" s="5" t="s">
        <v>454</v>
      </c>
      <c r="F14" s="218" t="s">
        <v>86</v>
      </c>
      <c r="G14" s="219" t="s">
        <v>579</v>
      </c>
      <c r="H14" s="36">
        <v>0</v>
      </c>
      <c r="I14" s="41"/>
      <c r="O14" s="142" t="s">
        <v>534</v>
      </c>
      <c r="R14" s="49" t="s">
        <v>571</v>
      </c>
      <c r="S14" s="49" t="s">
        <v>572</v>
      </c>
      <c r="T14" s="49" t="s">
        <v>573</v>
      </c>
      <c r="U14" s="49" t="s">
        <v>574</v>
      </c>
      <c r="V14" s="49" t="s">
        <v>554</v>
      </c>
      <c r="W14" s="49" t="s">
        <v>575</v>
      </c>
      <c r="X14" s="49" t="s">
        <v>576</v>
      </c>
      <c r="Y14" s="49" t="s">
        <v>577</v>
      </c>
      <c r="Z14" s="49" t="s">
        <v>578</v>
      </c>
      <c r="AA14" s="49" t="s">
        <v>579</v>
      </c>
      <c r="AB14" s="49" t="s">
        <v>580</v>
      </c>
      <c r="AC14" s="49" t="s">
        <v>581</v>
      </c>
    </row>
    <row r="15" spans="1:56" ht="19.5" customHeight="1">
      <c r="C15" s="287" t="s">
        <v>390</v>
      </c>
      <c r="D15" s="287"/>
      <c r="E15" s="5" t="s">
        <v>454</v>
      </c>
      <c r="F15" s="218" t="s">
        <v>72</v>
      </c>
      <c r="G15" s="219" t="s">
        <v>573</v>
      </c>
      <c r="H15" s="36">
        <v>0</v>
      </c>
      <c r="I15" s="41"/>
      <c r="O15" s="133" t="s">
        <v>535</v>
      </c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373</v>
      </c>
      <c r="AH15" s="216" t="s">
        <v>499</v>
      </c>
      <c r="AI15" s="216" t="s">
        <v>556</v>
      </c>
      <c r="AJ15" s="216" t="s">
        <v>557</v>
      </c>
      <c r="AK15" s="216" t="s">
        <v>558</v>
      </c>
      <c r="AL15" s="216" t="s">
        <v>559</v>
      </c>
      <c r="AM15" s="216" t="s">
        <v>560</v>
      </c>
      <c r="AN15" s="216" t="s">
        <v>561</v>
      </c>
      <c r="AO15" s="216" t="s">
        <v>562</v>
      </c>
      <c r="AP15" s="216" t="s">
        <v>563</v>
      </c>
      <c r="AQ15" s="216" t="s">
        <v>564</v>
      </c>
      <c r="AR15" s="216" t="s">
        <v>565</v>
      </c>
      <c r="AS15" s="216" t="s">
        <v>566</v>
      </c>
      <c r="AT15" s="216" t="s">
        <v>567</v>
      </c>
      <c r="AU15" s="216" t="s">
        <v>568</v>
      </c>
      <c r="AV15" s="216" t="s">
        <v>569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1"/>
      <c r="R16" s="169"/>
      <c r="S16" s="169"/>
    </row>
    <row r="17" spans="2:20" ht="19.5" customHeight="1">
      <c r="B17" s="144" t="s">
        <v>524</v>
      </c>
      <c r="D17" s="143"/>
      <c r="R17" s="169"/>
      <c r="S17" s="169"/>
    </row>
    <row r="18" spans="2:20">
      <c r="C18" s="40" t="s">
        <v>530</v>
      </c>
      <c r="F18" s="34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525</v>
      </c>
      <c r="D20" s="146" t="s">
        <v>521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0">
      <c r="B21" s="16"/>
      <c r="C21" s="149" t="s">
        <v>532</v>
      </c>
      <c r="D21" s="126" t="s">
        <v>523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544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0">
      <c r="B23" s="16"/>
      <c r="C23" s="149" t="s">
        <v>138</v>
      </c>
      <c r="D23" s="152"/>
      <c r="E23" s="129" t="s">
        <v>140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9" t="s">
        <v>140</v>
      </c>
      <c r="S23" s="49" t="s">
        <v>510</v>
      </c>
      <c r="T23" s="246" t="str">
        <f>O15</f>
        <v>Wetterdienstleister ABC</v>
      </c>
    </row>
    <row r="24" spans="2:20">
      <c r="B24" s="16"/>
      <c r="C24" s="149" t="s">
        <v>527</v>
      </c>
      <c r="D24" s="152"/>
      <c r="E24" s="129" t="s">
        <v>588</v>
      </c>
      <c r="F24" s="129" t="s">
        <v>589</v>
      </c>
      <c r="G24" s="129"/>
      <c r="H24" s="129"/>
      <c r="I24" s="129"/>
      <c r="J24" s="129"/>
      <c r="K24" s="129"/>
      <c r="L24" s="129"/>
      <c r="M24" s="129"/>
      <c r="N24" s="129"/>
      <c r="O24" s="150" t="s">
        <v>528</v>
      </c>
      <c r="Q24" s="170"/>
    </row>
    <row r="25" spans="2:20">
      <c r="B25" s="16"/>
      <c r="C25" s="149" t="s">
        <v>522</v>
      </c>
      <c r="D25" s="152"/>
      <c r="E25" s="129" t="s">
        <v>366</v>
      </c>
      <c r="F25" s="129" t="s">
        <v>366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9" t="s">
        <v>139</v>
      </c>
    </row>
    <row r="26" spans="2:20">
      <c r="B26" s="16"/>
      <c r="C26" s="149" t="s">
        <v>142</v>
      </c>
      <c r="D26" s="152"/>
      <c r="E26" s="129" t="s">
        <v>511</v>
      </c>
      <c r="F26" s="129" t="s">
        <v>511</v>
      </c>
      <c r="G26" s="129"/>
      <c r="H26" s="129"/>
      <c r="I26" s="129"/>
      <c r="J26" s="129"/>
      <c r="K26" s="129"/>
      <c r="L26" s="129"/>
      <c r="M26" s="129"/>
      <c r="N26" s="129"/>
      <c r="O26" s="150" t="s">
        <v>143</v>
      </c>
      <c r="Q26" s="170"/>
      <c r="R26" s="49" t="s">
        <v>511</v>
      </c>
      <c r="S26" s="49" t="s">
        <v>512</v>
      </c>
    </row>
    <row r="27" spans="2:20">
      <c r="B27" s="16"/>
      <c r="C27" s="153"/>
      <c r="Q27" s="170"/>
    </row>
    <row r="28" spans="2:20">
      <c r="C28" s="40" t="s">
        <v>526</v>
      </c>
      <c r="F28" s="34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141</v>
      </c>
      <c r="D30" s="146" t="s">
        <v>257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145</v>
      </c>
      <c r="Q30" s="170"/>
    </row>
    <row r="31" spans="2:20">
      <c r="B31" s="16"/>
      <c r="C31" s="149" t="s">
        <v>533</v>
      </c>
      <c r="D31" s="151" t="s">
        <v>256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>
      <c r="B32" s="16"/>
      <c r="C32" s="149" t="s">
        <v>540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146</v>
      </c>
      <c r="Q32" s="170"/>
    </row>
    <row r="33" spans="2:28">
      <c r="B33" s="16"/>
      <c r="C33" s="149" t="s">
        <v>364</v>
      </c>
      <c r="D33" s="126" t="s">
        <v>363</v>
      </c>
      <c r="E33" s="129" t="s">
        <v>3</v>
      </c>
      <c r="F33" s="129" t="s">
        <v>362</v>
      </c>
      <c r="G33" s="129" t="s">
        <v>353</v>
      </c>
      <c r="H33" s="129" t="s">
        <v>354</v>
      </c>
      <c r="I33" s="129"/>
      <c r="J33" s="129"/>
      <c r="K33" s="129"/>
      <c r="L33" s="129"/>
      <c r="M33" s="129"/>
      <c r="N33" s="129"/>
      <c r="O33" s="150" t="s">
        <v>143</v>
      </c>
      <c r="Q33" s="170"/>
      <c r="R33" s="49" t="s">
        <v>3</v>
      </c>
      <c r="S33" s="49" t="s">
        <v>362</v>
      </c>
      <c r="T33" s="49" t="s">
        <v>353</v>
      </c>
      <c r="U33" s="49" t="s">
        <v>354</v>
      </c>
      <c r="V33" s="49" t="s">
        <v>355</v>
      </c>
      <c r="W33" s="49" t="s">
        <v>356</v>
      </c>
      <c r="X33" s="49" t="s">
        <v>357</v>
      </c>
      <c r="Y33" s="49" t="s">
        <v>358</v>
      </c>
      <c r="Z33" s="49" t="s">
        <v>359</v>
      </c>
      <c r="AA33" s="49" t="s">
        <v>360</v>
      </c>
      <c r="AB33" s="49" t="s">
        <v>361</v>
      </c>
    </row>
    <row r="34" spans="2:28">
      <c r="B34" s="16"/>
      <c r="C34" s="149" t="s">
        <v>456</v>
      </c>
      <c r="D34" s="126" t="s">
        <v>455</v>
      </c>
      <c r="E34" s="129" t="s">
        <v>519</v>
      </c>
      <c r="F34" s="129" t="s">
        <v>519</v>
      </c>
      <c r="G34" s="129" t="s">
        <v>519</v>
      </c>
      <c r="H34" s="129" t="s">
        <v>519</v>
      </c>
      <c r="I34" s="134"/>
      <c r="J34" s="134"/>
      <c r="K34" s="134"/>
      <c r="L34" s="134"/>
      <c r="M34" s="134"/>
      <c r="N34" s="134"/>
      <c r="O34" s="150" t="s">
        <v>143</v>
      </c>
      <c r="Q34" s="170"/>
      <c r="R34" s="49" t="s">
        <v>519</v>
      </c>
      <c r="S34" s="49" t="s">
        <v>520</v>
      </c>
    </row>
    <row r="35" spans="2:28">
      <c r="B35" s="16"/>
      <c r="C35" s="149" t="s">
        <v>613</v>
      </c>
      <c r="D35" s="126" t="s">
        <v>614</v>
      </c>
      <c r="E35" s="129" t="s">
        <v>612</v>
      </c>
      <c r="F35" s="129" t="s">
        <v>612</v>
      </c>
      <c r="G35" s="129" t="s">
        <v>612</v>
      </c>
      <c r="H35" s="129" t="s">
        <v>612</v>
      </c>
      <c r="I35" s="129" t="s">
        <v>612</v>
      </c>
      <c r="J35" s="129" t="s">
        <v>612</v>
      </c>
      <c r="K35" s="129" t="s">
        <v>612</v>
      </c>
      <c r="L35" s="129" t="s">
        <v>612</v>
      </c>
      <c r="M35" s="129" t="s">
        <v>612</v>
      </c>
      <c r="N35" s="129" t="s">
        <v>612</v>
      </c>
      <c r="O35" s="150" t="s">
        <v>143</v>
      </c>
      <c r="Q35" s="170"/>
      <c r="R35" s="49" t="s">
        <v>612</v>
      </c>
      <c r="S35" s="49" t="s">
        <v>615</v>
      </c>
      <c r="T35" s="41"/>
    </row>
    <row r="36" spans="2:28">
      <c r="B36" s="16"/>
      <c r="C36" s="152" t="s">
        <v>448</v>
      </c>
      <c r="D36" s="96" t="s">
        <v>545</v>
      </c>
      <c r="E36" s="134" t="s">
        <v>457</v>
      </c>
      <c r="F36" s="134" t="s">
        <v>457</v>
      </c>
      <c r="G36" s="134" t="s">
        <v>458</v>
      </c>
      <c r="H36" s="134" t="s">
        <v>458</v>
      </c>
      <c r="I36" s="134"/>
      <c r="J36" s="134"/>
      <c r="K36" s="134"/>
      <c r="L36" s="134"/>
      <c r="M36" s="134"/>
      <c r="N36" s="134"/>
      <c r="O36" s="150" t="s">
        <v>143</v>
      </c>
      <c r="Q36" s="170"/>
      <c r="R36" s="49" t="s">
        <v>458</v>
      </c>
      <c r="S36" s="49" t="s">
        <v>457</v>
      </c>
    </row>
    <row r="37" spans="2:28" ht="15.75" thickBot="1"/>
    <row r="38" spans="2:28">
      <c r="C38" s="155" t="s">
        <v>272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352</v>
      </c>
      <c r="D39" s="159"/>
      <c r="E39" s="159" t="s">
        <v>538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539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531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536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537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542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543</v>
      </c>
      <c r="D46" s="162" t="s">
        <v>541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365</v>
      </c>
      <c r="K46" s="159"/>
      <c r="L46" s="159"/>
      <c r="M46" s="159"/>
      <c r="N46" s="159"/>
      <c r="O46" s="160"/>
    </row>
    <row r="47" spans="2:28">
      <c r="C47" s="161" t="s">
        <v>351</v>
      </c>
      <c r="D47" s="162" t="s">
        <v>541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365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586</v>
      </c>
    </row>
    <row r="51" spans="2:15">
      <c r="I51" s="1"/>
    </row>
    <row r="52" spans="2:15">
      <c r="C52" s="40" t="s">
        <v>550</v>
      </c>
      <c r="F52" s="130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525</v>
      </c>
      <c r="D54" s="146" t="s">
        <v>521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145</v>
      </c>
    </row>
    <row r="55" spans="2:15">
      <c r="B55" s="16"/>
      <c r="C55" s="149" t="s">
        <v>532</v>
      </c>
      <c r="D55" s="126" t="s">
        <v>523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>
      <c r="B56" s="16"/>
      <c r="C56" s="149" t="s">
        <v>544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146</v>
      </c>
    </row>
    <row r="57" spans="2:15">
      <c r="B57" s="16"/>
      <c r="C57" s="149" t="s">
        <v>138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143</v>
      </c>
    </row>
    <row r="58" spans="2:15">
      <c r="B58" s="16"/>
      <c r="C58" s="149" t="s">
        <v>527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528</v>
      </c>
    </row>
    <row r="59" spans="2:15">
      <c r="B59" s="16"/>
      <c r="C59" s="149" t="s">
        <v>522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144</v>
      </c>
    </row>
    <row r="60" spans="2:15">
      <c r="B60" s="16"/>
      <c r="C60" s="149" t="s">
        <v>142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143</v>
      </c>
    </row>
    <row r="61" spans="2:15"/>
    <row r="62" spans="2:15">
      <c r="C62" s="40" t="s">
        <v>526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141</v>
      </c>
      <c r="D64" s="146" t="s">
        <v>257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145</v>
      </c>
    </row>
    <row r="65" spans="2:15">
      <c r="B65" s="16"/>
      <c r="C65" s="149" t="s">
        <v>533</v>
      </c>
      <c r="D65" s="151" t="s">
        <v>256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>
      <c r="B66" s="16"/>
      <c r="C66" s="149" t="s">
        <v>540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146</v>
      </c>
    </row>
    <row r="67" spans="2:15">
      <c r="B67" s="16"/>
      <c r="C67" s="149" t="s">
        <v>364</v>
      </c>
      <c r="D67" s="126" t="s">
        <v>363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143</v>
      </c>
    </row>
    <row r="68" spans="2:15">
      <c r="B68" s="16"/>
      <c r="C68" s="149" t="s">
        <v>456</v>
      </c>
      <c r="D68" s="126" t="s">
        <v>455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143</v>
      </c>
    </row>
    <row r="69" spans="2:15">
      <c r="B69" s="16"/>
      <c r="C69" s="149" t="s">
        <v>613</v>
      </c>
      <c r="D69" s="126" t="s">
        <v>614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143</v>
      </c>
    </row>
    <row r="70" spans="2:15">
      <c r="B70" s="16"/>
      <c r="C70" s="152" t="s">
        <v>448</v>
      </c>
      <c r="D70" s="96" t="s">
        <v>545</v>
      </c>
      <c r="E70" s="135" t="s">
        <v>458</v>
      </c>
      <c r="F70" s="135" t="s">
        <v>458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143</v>
      </c>
    </row>
    <row r="71" spans="2:15"/>
    <row r="72" spans="2:15" ht="15.75" customHeight="1">
      <c r="C72" s="288" t="s">
        <v>587</v>
      </c>
      <c r="D72" s="288"/>
      <c r="E72" s="288"/>
      <c r="F72" s="288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B1" zoomScale="80" zoomScaleNormal="80" workbookViewId="0">
      <selection activeCell="H11" sqref="H11:X27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5" t="s">
        <v>367</v>
      </c>
    </row>
    <row r="3" spans="2:26">
      <c r="B3" t="s">
        <v>471</v>
      </c>
    </row>
    <row r="4" spans="2:26"/>
    <row r="5" spans="2:26">
      <c r="C5" s="38" t="s">
        <v>372</v>
      </c>
      <c r="D5" s="39" t="str">
        <f>Netzbetreiber!$D$9</f>
        <v>Bayerische Rhöngas GmbH</v>
      </c>
      <c r="H5" s="68" t="s">
        <v>503</v>
      </c>
      <c r="I5" s="8" t="s">
        <v>506</v>
      </c>
    </row>
    <row r="6" spans="2:26">
      <c r="C6" s="38" t="s">
        <v>339</v>
      </c>
      <c r="D6" s="39" t="str">
        <f>Netzbetreiber!$D$28</f>
        <v>THE H-Gas</v>
      </c>
      <c r="I6" s="8" t="s">
        <v>516</v>
      </c>
    </row>
    <row r="7" spans="2:26">
      <c r="C7" s="38" t="s">
        <v>493</v>
      </c>
      <c r="D7" s="39" t="str">
        <f>Netzbetreiber!$D$11</f>
        <v>9870043600005</v>
      </c>
    </row>
    <row r="8" spans="2:26">
      <c r="C8" s="38" t="s">
        <v>134</v>
      </c>
      <c r="D8" s="37">
        <f>Netzbetreiber!$D$6</f>
        <v>43678</v>
      </c>
      <c r="H8" t="s">
        <v>501</v>
      </c>
      <c r="J8" s="106">
        <f>COUNTA(D12:D100)</f>
        <v>16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7" t="s">
        <v>250</v>
      </c>
      <c r="C10" s="108" t="s">
        <v>500</v>
      </c>
      <c r="D10" s="107" t="s">
        <v>148</v>
      </c>
      <c r="E10" s="228" t="s">
        <v>518</v>
      </c>
      <c r="F10" s="108" t="s">
        <v>149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643</v>
      </c>
      <c r="M10" s="123" t="s">
        <v>652</v>
      </c>
      <c r="N10" s="124" t="s">
        <v>653</v>
      </c>
      <c r="O10" s="124" t="s">
        <v>654</v>
      </c>
      <c r="P10" s="125" t="s">
        <v>655</v>
      </c>
      <c r="Q10" s="119" t="s">
        <v>644</v>
      </c>
      <c r="R10" s="109" t="s">
        <v>645</v>
      </c>
      <c r="S10" s="110" t="s">
        <v>646</v>
      </c>
      <c r="T10" s="110" t="s">
        <v>647</v>
      </c>
      <c r="U10" s="110" t="s">
        <v>648</v>
      </c>
      <c r="V10" s="110" t="s">
        <v>649</v>
      </c>
      <c r="W10" s="110" t="s">
        <v>650</v>
      </c>
      <c r="X10" s="111" t="s">
        <v>651</v>
      </c>
      <c r="Y10" s="252" t="s">
        <v>656</v>
      </c>
    </row>
    <row r="11" spans="2:26" ht="15.75" thickBot="1">
      <c r="B11" s="112" t="s">
        <v>502</v>
      </c>
      <c r="C11" s="113" t="s">
        <v>517</v>
      </c>
      <c r="D11" s="251" t="s">
        <v>249</v>
      </c>
      <c r="E11" s="136" t="s">
        <v>4</v>
      </c>
      <c r="F11" s="253" t="str">
        <f>VLOOKUP($E11,'BDEW-Standard'!$B$3:$M$158,F$9,0)</f>
        <v>D13</v>
      </c>
      <c r="H11" s="138">
        <f>ROUND(VLOOKUP($E11,'BDEW-Standard'!$B$3:$M$158,H$9,0),7)</f>
        <v>3.0469694999999999</v>
      </c>
      <c r="I11" s="138">
        <f>ROUND(VLOOKUP($E11,'BDEW-Standard'!$B$3:$M$158,I$9,0),7)</f>
        <v>-37.183314099999997</v>
      </c>
      <c r="J11" s="138">
        <f>ROUND(VLOOKUP($E11,'BDEW-Standard'!$B$3:$M$158,J$9,0),7)</f>
        <v>5.6727847000000002</v>
      </c>
      <c r="K11" s="138">
        <f>ROUND(VLOOKUP($E11,'BDEW-Standard'!$B$3:$M$158,K$9,0),7)</f>
        <v>9.6193100000000004E-2</v>
      </c>
      <c r="L11" s="173">
        <f>ROUND(VLOOKUP($E11,'BDEW-Standard'!$B$3:$M$158,L$9,0),1)</f>
        <v>40</v>
      </c>
      <c r="M11" s="138">
        <f>ROUND(VLOOKUP($E11,'BDEW-Standard'!$B$3:$M$158,M$9,0),7)</f>
        <v>0</v>
      </c>
      <c r="N11" s="138">
        <f>ROUND(VLOOKUP($E11,'BDEW-Standard'!$B$3:$M$158,N$9,0),7)</f>
        <v>0</v>
      </c>
      <c r="O11" s="138">
        <f>ROUND(VLOOKUP($E11,'BDEW-Standard'!$B$3:$M$158,O$9,0),7)</f>
        <v>0</v>
      </c>
      <c r="P11" s="138">
        <f>ROUND(VLOOKUP($E11,'BDEW-Standard'!$B$3:$M$158,P$9,0),7)</f>
        <v>0</v>
      </c>
      <c r="Q11" s="172">
        <f>($H11/(1+($I11/($Q$9-$L11))^$J11)+$K11)+MAX($M11*$Q$9+$N11,$O11*$Q$9+$P11)</f>
        <v>1.0075192723557669</v>
      </c>
      <c r="R11" s="139">
        <f>ROUND(VLOOKUP(MID($E11,4,3),'Wochentag F(WT)'!$B$7:$J$22,R$9,0),4)</f>
        <v>1</v>
      </c>
      <c r="S11" s="139">
        <f>ROUND(VLOOKUP(MID($E11,4,3),'Wochentag F(WT)'!$B$7:$J$22,S$9,0),4)</f>
        <v>1</v>
      </c>
      <c r="T11" s="139">
        <f>ROUND(VLOOKUP(MID($E11,4,3),'Wochentag F(WT)'!$B$7:$J$22,T$9,0),4)</f>
        <v>1</v>
      </c>
      <c r="U11" s="139">
        <f>ROUND(VLOOKUP(MID($E11,4,3),'Wochentag F(WT)'!$B$7:$J$22,U$9,0),4)</f>
        <v>1</v>
      </c>
      <c r="V11" s="139">
        <f>ROUND(VLOOKUP(MID($E11,4,3),'Wochentag F(WT)'!$B$7:$J$22,V$9,0),4)</f>
        <v>1</v>
      </c>
      <c r="W11" s="139">
        <f>ROUND(VLOOKUP(MID($E11,4,3),'Wochentag F(WT)'!$B$7:$J$22,W$9,0),4)</f>
        <v>1</v>
      </c>
      <c r="X11" s="140">
        <f>7-SUM(R11:W11)</f>
        <v>1</v>
      </c>
      <c r="Y11" s="249">
        <v>365.12299999999999</v>
      </c>
    </row>
    <row r="12" spans="2:26">
      <c r="B12" s="114">
        <v>1</v>
      </c>
      <c r="C12" s="115" t="str">
        <f t="shared" ref="C12:C41" si="0">$D$6</f>
        <v>THE H-Gas</v>
      </c>
      <c r="D12" s="46" t="s">
        <v>249</v>
      </c>
      <c r="E12" s="137" t="s">
        <v>4</v>
      </c>
      <c r="F12" s="254" t="str">
        <f>VLOOKUP($E12,'BDEW-Standard'!$B$3:$M$94,F$9,0)</f>
        <v>D13</v>
      </c>
      <c r="H12" s="229">
        <f>ROUND(VLOOKUP($E12,'BDEW-Standard'!$B$3:$M$94,H$9,0),7)</f>
        <v>3.0469694999999999</v>
      </c>
      <c r="I12" s="229">
        <f>ROUND(VLOOKUP($E12,'BDEW-Standard'!$B$3:$M$94,I$9,0),7)</f>
        <v>-37.183314099999997</v>
      </c>
      <c r="J12" s="229">
        <f>ROUND(VLOOKUP($E12,'BDEW-Standard'!$B$3:$M$94,J$9,0),7)</f>
        <v>5.6727847000000002</v>
      </c>
      <c r="K12" s="229">
        <f>ROUND(VLOOKUP($E12,'BDEW-Standard'!$B$3:$M$94,K$9,0),7)</f>
        <v>9.6193100000000004E-2</v>
      </c>
      <c r="L12" s="230">
        <f>ROUND(VLOOKUP($E12,'BDEW-Standard'!$B$3:$M$94,L$9,0),1)</f>
        <v>40</v>
      </c>
      <c r="M12" s="229">
        <f>ROUND(VLOOKUP($E12,'BDEW-Standard'!$B$3:$M$94,M$9,0),7)</f>
        <v>0</v>
      </c>
      <c r="N12" s="229">
        <f>ROUND(VLOOKUP($E12,'BDEW-Standard'!$B$3:$M$94,N$9,0),7)</f>
        <v>0</v>
      </c>
      <c r="O12" s="229">
        <f>ROUND(VLOOKUP($E12,'BDEW-Standard'!$B$3:$M$94,O$9,0),7)</f>
        <v>0</v>
      </c>
      <c r="P12" s="229">
        <f>ROUND(VLOOKUP($E12,'BDEW-Standard'!$B$3:$M$94,P$9,0),7)</f>
        <v>0</v>
      </c>
      <c r="Q12" s="231">
        <f t="shared" ref="Q12:Q27" si="1">($H12/(1+($I12/($Q$9-$L12))^$J12)+$K12)+MAX($M12*$Q$9+$N12,$O12*$Q$9+$P12)</f>
        <v>1.0075192723557669</v>
      </c>
      <c r="R12" s="232">
        <f>ROUND(VLOOKUP(MID($E12,4,3),'Wochentag F(WT)'!$B$7:$J$22,R$9,0),4)</f>
        <v>1</v>
      </c>
      <c r="S12" s="232">
        <f>ROUND(VLOOKUP(MID($E12,4,3),'Wochentag F(WT)'!$B$7:$J$22,S$9,0),4)</f>
        <v>1</v>
      </c>
      <c r="T12" s="232">
        <f>ROUND(VLOOKUP(MID($E12,4,3),'Wochentag F(WT)'!$B$7:$J$22,T$9,0),4)</f>
        <v>1</v>
      </c>
      <c r="U12" s="232">
        <f>ROUND(VLOOKUP(MID($E12,4,3),'Wochentag F(WT)'!$B$7:$J$22,U$9,0),4)</f>
        <v>1</v>
      </c>
      <c r="V12" s="232">
        <f>ROUND(VLOOKUP(MID($E12,4,3),'Wochentag F(WT)'!$B$7:$J$22,V$9,0),4)</f>
        <v>1</v>
      </c>
      <c r="W12" s="232">
        <f>ROUND(VLOOKUP(MID($E12,4,3),'Wochentag F(WT)'!$B$7:$J$22,W$9,0),4)</f>
        <v>1</v>
      </c>
      <c r="X12" s="233">
        <f>7-SUM(R12:W12)</f>
        <v>1</v>
      </c>
      <c r="Y12" s="250"/>
      <c r="Z12" s="171"/>
    </row>
    <row r="13" spans="2:26" s="116" customFormat="1">
      <c r="B13" s="117">
        <v>2</v>
      </c>
      <c r="C13" s="118" t="str">
        <f t="shared" si="0"/>
        <v>THE H-Gas</v>
      </c>
      <c r="D13" s="46" t="s">
        <v>249</v>
      </c>
      <c r="E13" s="137" t="s">
        <v>591</v>
      </c>
      <c r="F13" s="254" t="str">
        <f>VLOOKUP($E13,'BDEW-Standard'!$B$3:$M$94,F$9,0)</f>
        <v>D23</v>
      </c>
      <c r="H13" s="229">
        <f>ROUND(VLOOKUP($E13,'BDEW-Standard'!$B$3:$M$94,H$9,0),7)</f>
        <v>2.3877617999999998</v>
      </c>
      <c r="I13" s="229">
        <f>ROUND(VLOOKUP($E13,'BDEW-Standard'!$B$3:$M$94,I$9,0),7)</f>
        <v>-34.721360500000003</v>
      </c>
      <c r="J13" s="229">
        <f>ROUND(VLOOKUP($E13,'BDEW-Standard'!$B$3:$M$94,J$9,0),7)</f>
        <v>5.8164303999999998</v>
      </c>
      <c r="K13" s="229">
        <f>ROUND(VLOOKUP($E13,'BDEW-Standard'!$B$3:$M$94,K$9,0),7)</f>
        <v>0.12081939999999999</v>
      </c>
      <c r="L13" s="230">
        <f>ROUND(VLOOKUP($E13,'BDEW-Standard'!$B$3:$M$94,L$9,0),1)</f>
        <v>40</v>
      </c>
      <c r="M13" s="229">
        <f>ROUND(VLOOKUP($E13,'BDEW-Standard'!$B$3:$M$94,M$9,0),7)</f>
        <v>0</v>
      </c>
      <c r="N13" s="229">
        <f>ROUND(VLOOKUP($E13,'BDEW-Standard'!$B$3:$M$94,N$9,0),7)</f>
        <v>0</v>
      </c>
      <c r="O13" s="229">
        <f>ROUND(VLOOKUP($E13,'BDEW-Standard'!$B$3:$M$94,O$9,0),7)</f>
        <v>0</v>
      </c>
      <c r="P13" s="229">
        <f>ROUND(VLOOKUP($E13,'BDEW-Standard'!$B$3:$M$94,P$9,0),7)</f>
        <v>0</v>
      </c>
      <c r="Q13" s="231">
        <f t="shared" si="1"/>
        <v>1.0365184142102302</v>
      </c>
      <c r="R13" s="232">
        <f>ROUND(VLOOKUP(MID($E13,4,3),'Wochentag F(WT)'!$B$7:$J$22,R$9,0),4)</f>
        <v>1</v>
      </c>
      <c r="S13" s="232">
        <f>ROUND(VLOOKUP(MID($E13,4,3),'Wochentag F(WT)'!$B$7:$J$22,S$9,0),4)</f>
        <v>1</v>
      </c>
      <c r="T13" s="232">
        <f>ROUND(VLOOKUP(MID($E13,4,3),'Wochentag F(WT)'!$B$7:$J$22,T$9,0),4)</f>
        <v>1</v>
      </c>
      <c r="U13" s="232">
        <f>ROUND(VLOOKUP(MID($E13,4,3),'Wochentag F(WT)'!$B$7:$J$22,U$9,0),4)</f>
        <v>1</v>
      </c>
      <c r="V13" s="232">
        <f>ROUND(VLOOKUP(MID($E13,4,3),'Wochentag F(WT)'!$B$7:$J$22,V$9,0),4)</f>
        <v>1</v>
      </c>
      <c r="W13" s="232">
        <f>ROUND(VLOOKUP(MID($E13,4,3),'Wochentag F(WT)'!$B$7:$J$22,W$9,0),4)</f>
        <v>1</v>
      </c>
      <c r="X13" s="233">
        <f t="shared" ref="X13:X26" si="2">7-SUM(R13:W13)</f>
        <v>1</v>
      </c>
      <c r="Y13" s="250"/>
      <c r="Z13" s="171"/>
    </row>
    <row r="14" spans="2:26" s="116" customFormat="1">
      <c r="B14" s="117">
        <v>3</v>
      </c>
      <c r="C14" s="118" t="str">
        <f t="shared" si="0"/>
        <v>THE H-Gas</v>
      </c>
      <c r="D14" s="46" t="s">
        <v>249</v>
      </c>
      <c r="E14" s="137" t="s">
        <v>5</v>
      </c>
      <c r="F14" s="254" t="str">
        <f>VLOOKUP($E14,'BDEW-Standard'!$B$3:$M$94,F$9,0)</f>
        <v>HK3</v>
      </c>
      <c r="H14" s="229">
        <f>ROUND(VLOOKUP($E14,'BDEW-Standard'!$B$3:$M$94,H$9,0),7)</f>
        <v>0.40409319999999999</v>
      </c>
      <c r="I14" s="229">
        <f>ROUND(VLOOKUP($E14,'BDEW-Standard'!$B$3:$M$94,I$9,0),7)</f>
        <v>-24.439296800000001</v>
      </c>
      <c r="J14" s="229">
        <f>ROUND(VLOOKUP($E14,'BDEW-Standard'!$B$3:$M$94,J$9,0),7)</f>
        <v>6.5718174999999999</v>
      </c>
      <c r="K14" s="229">
        <f>ROUND(VLOOKUP($E14,'BDEW-Standard'!$B$3:$M$94,K$9,0),7)</f>
        <v>0.71077100000000004</v>
      </c>
      <c r="L14" s="230">
        <f>ROUND(VLOOKUP($E14,'BDEW-Standard'!$B$3:$M$94,L$9,0),1)</f>
        <v>40</v>
      </c>
      <c r="M14" s="229">
        <f>ROUND(VLOOKUP($E14,'BDEW-Standard'!$B$3:$M$94,M$9,0),7)</f>
        <v>0</v>
      </c>
      <c r="N14" s="229">
        <f>ROUND(VLOOKUP($E14,'BDEW-Standard'!$B$3:$M$94,N$9,0),7)</f>
        <v>0</v>
      </c>
      <c r="O14" s="229">
        <f>ROUND(VLOOKUP($E14,'BDEW-Standard'!$B$3:$M$94,O$9,0),7)</f>
        <v>0</v>
      </c>
      <c r="P14" s="229">
        <f>ROUND(VLOOKUP($E14,'BDEW-Standard'!$B$3:$M$94,P$9,0),7)</f>
        <v>0</v>
      </c>
      <c r="Q14" s="231">
        <f t="shared" si="1"/>
        <v>1.0561214000512988</v>
      </c>
      <c r="R14" s="232">
        <f>ROUND(VLOOKUP(MID($E14,4,3),'Wochentag F(WT)'!$B$7:$J$22,R$9,0),4)</f>
        <v>1</v>
      </c>
      <c r="S14" s="232">
        <f>ROUND(VLOOKUP(MID($E14,4,3),'Wochentag F(WT)'!$B$7:$J$22,S$9,0),4)</f>
        <v>1</v>
      </c>
      <c r="T14" s="232">
        <f>ROUND(VLOOKUP(MID($E14,4,3),'Wochentag F(WT)'!$B$7:$J$22,T$9,0),4)</f>
        <v>1</v>
      </c>
      <c r="U14" s="232">
        <f>ROUND(VLOOKUP(MID($E14,4,3),'Wochentag F(WT)'!$B$7:$J$22,U$9,0),4)</f>
        <v>1</v>
      </c>
      <c r="V14" s="232">
        <f>ROUND(VLOOKUP(MID($E14,4,3),'Wochentag F(WT)'!$B$7:$J$22,V$9,0),4)</f>
        <v>1</v>
      </c>
      <c r="W14" s="232">
        <f>ROUND(VLOOKUP(MID($E14,4,3),'Wochentag F(WT)'!$B$7:$J$22,W$9,0),4)</f>
        <v>1</v>
      </c>
      <c r="X14" s="233">
        <f t="shared" si="2"/>
        <v>1</v>
      </c>
      <c r="Y14" s="250"/>
      <c r="Z14" s="171"/>
    </row>
    <row r="15" spans="2:26" s="116" customFormat="1">
      <c r="B15" s="117">
        <v>4</v>
      </c>
      <c r="C15" s="118" t="str">
        <f t="shared" si="0"/>
        <v>THE H-Gas</v>
      </c>
      <c r="D15" s="46" t="s">
        <v>249</v>
      </c>
      <c r="E15" s="137" t="s">
        <v>670</v>
      </c>
      <c r="F15" s="254" t="str">
        <f>VLOOKUP($E15,'BDEW-Standard'!$B$3:$M$94,F$9,0)</f>
        <v>MF3</v>
      </c>
      <c r="H15" s="229">
        <f>ROUND(VLOOKUP($E15,'BDEW-Standard'!$B$3:$M$94,H$9,0),7)</f>
        <v>2.3877617999999998</v>
      </c>
      <c r="I15" s="229">
        <f>ROUND(VLOOKUP($E15,'BDEW-Standard'!$B$3:$M$94,I$9,0),7)</f>
        <v>-34.721360500000003</v>
      </c>
      <c r="J15" s="229">
        <f>ROUND(VLOOKUP($E15,'BDEW-Standard'!$B$3:$M$94,J$9,0),7)</f>
        <v>5.8164303999999998</v>
      </c>
      <c r="K15" s="229">
        <f>ROUND(VLOOKUP($E15,'BDEW-Standard'!$B$3:$M$94,K$9,0),7)</f>
        <v>0.12081939999999999</v>
      </c>
      <c r="L15" s="230">
        <f>ROUND(VLOOKUP($E15,'BDEW-Standard'!$B$3:$M$94,L$9,0),1)</f>
        <v>40</v>
      </c>
      <c r="M15" s="229">
        <f>ROUND(VLOOKUP($E15,'BDEW-Standard'!$B$3:$M$94,M$9,0),7)</f>
        <v>0</v>
      </c>
      <c r="N15" s="229">
        <f>ROUND(VLOOKUP($E15,'BDEW-Standard'!$B$3:$M$94,N$9,0),7)</f>
        <v>0</v>
      </c>
      <c r="O15" s="229">
        <f>ROUND(VLOOKUP($E15,'BDEW-Standard'!$B$3:$M$94,O$9,0),7)</f>
        <v>0</v>
      </c>
      <c r="P15" s="229">
        <f>ROUND(VLOOKUP($E15,'BDEW-Standard'!$B$3:$M$94,P$9,0),7)</f>
        <v>0</v>
      </c>
      <c r="Q15" s="231">
        <f t="shared" si="1"/>
        <v>1.0365184142102302</v>
      </c>
      <c r="R15" s="232">
        <f>ROUND(VLOOKUP(MID($E15,4,3),'Wochentag F(WT)'!$B$7:$J$22,R$9,0),4)</f>
        <v>1.0354000000000001</v>
      </c>
      <c r="S15" s="232">
        <f>ROUND(VLOOKUP(MID($E15,4,3),'Wochentag F(WT)'!$B$7:$J$22,S$9,0),4)</f>
        <v>1.0523</v>
      </c>
      <c r="T15" s="232">
        <f>ROUND(VLOOKUP(MID($E15,4,3),'Wochentag F(WT)'!$B$7:$J$22,T$9,0),4)</f>
        <v>1.0448999999999999</v>
      </c>
      <c r="U15" s="232">
        <f>ROUND(VLOOKUP(MID($E15,4,3),'Wochentag F(WT)'!$B$7:$J$22,U$9,0),4)</f>
        <v>1.0494000000000001</v>
      </c>
      <c r="V15" s="232">
        <f>ROUND(VLOOKUP(MID($E15,4,3),'Wochentag F(WT)'!$B$7:$J$22,V$9,0),4)</f>
        <v>0.98850000000000005</v>
      </c>
      <c r="W15" s="232">
        <f>ROUND(VLOOKUP(MID($E15,4,3),'Wochentag F(WT)'!$B$7:$J$22,W$9,0),4)</f>
        <v>0.88600000000000001</v>
      </c>
      <c r="X15" s="233">
        <f t="shared" si="2"/>
        <v>0.94349999999999934</v>
      </c>
      <c r="Y15" s="250"/>
      <c r="Z15" s="171"/>
    </row>
    <row r="16" spans="2:26" s="116" customFormat="1">
      <c r="B16" s="117">
        <v>5</v>
      </c>
      <c r="C16" s="118" t="str">
        <f t="shared" si="0"/>
        <v>THE H-Gas</v>
      </c>
      <c r="D16" s="46" t="s">
        <v>249</v>
      </c>
      <c r="E16" s="137" t="s">
        <v>671</v>
      </c>
      <c r="F16" s="254" t="str">
        <f>VLOOKUP($E16,'BDEW-Standard'!$B$3:$M$94,F$9,0)</f>
        <v>HD3</v>
      </c>
      <c r="H16" s="229">
        <f>ROUND(VLOOKUP($E16,'BDEW-Standard'!$B$3:$M$94,H$9,0),7)</f>
        <v>2.5792510000000002</v>
      </c>
      <c r="I16" s="229">
        <f>ROUND(VLOOKUP($E16,'BDEW-Standard'!$B$3:$M$94,I$9,0),7)</f>
        <v>-35.681614400000001</v>
      </c>
      <c r="J16" s="229">
        <f>ROUND(VLOOKUP($E16,'BDEW-Standard'!$B$3:$M$94,J$9,0),7)</f>
        <v>6.6857975999999999</v>
      </c>
      <c r="K16" s="229">
        <f>ROUND(VLOOKUP($E16,'BDEW-Standard'!$B$3:$M$94,K$9,0),7)</f>
        <v>0.19955410000000001</v>
      </c>
      <c r="L16" s="230">
        <f>ROUND(VLOOKUP($E16,'BDEW-Standard'!$B$3:$M$94,L$9,0),1)</f>
        <v>40</v>
      </c>
      <c r="M16" s="229">
        <f>ROUND(VLOOKUP($E16,'BDEW-Standard'!$B$3:$M$94,M$9,0),7)</f>
        <v>0</v>
      </c>
      <c r="N16" s="229">
        <f>ROUND(VLOOKUP($E16,'BDEW-Standard'!$B$3:$M$94,N$9,0),7)</f>
        <v>0</v>
      </c>
      <c r="O16" s="229">
        <f>ROUND(VLOOKUP($E16,'BDEW-Standard'!$B$3:$M$94,O$9,0),7)</f>
        <v>0</v>
      </c>
      <c r="P16" s="229">
        <f>ROUND(VLOOKUP($E16,'BDEW-Standard'!$B$3:$M$94,P$9,0),7)</f>
        <v>0</v>
      </c>
      <c r="Q16" s="231">
        <f t="shared" si="1"/>
        <v>1.0393994293439688</v>
      </c>
      <c r="R16" s="232">
        <f>ROUND(VLOOKUP(MID($E16,4,3),'Wochentag F(WT)'!$B$7:$J$22,R$9,0),4)</f>
        <v>1.03</v>
      </c>
      <c r="S16" s="232">
        <f>ROUND(VLOOKUP(MID($E16,4,3),'Wochentag F(WT)'!$B$7:$J$22,S$9,0),4)</f>
        <v>1.03</v>
      </c>
      <c r="T16" s="232">
        <f>ROUND(VLOOKUP(MID($E16,4,3),'Wochentag F(WT)'!$B$7:$J$22,T$9,0),4)</f>
        <v>1.02</v>
      </c>
      <c r="U16" s="232">
        <f>ROUND(VLOOKUP(MID($E16,4,3),'Wochentag F(WT)'!$B$7:$J$22,U$9,0),4)</f>
        <v>1.03</v>
      </c>
      <c r="V16" s="232">
        <f>ROUND(VLOOKUP(MID($E16,4,3),'Wochentag F(WT)'!$B$7:$J$22,V$9,0),4)</f>
        <v>1.01</v>
      </c>
      <c r="W16" s="232">
        <f>ROUND(VLOOKUP(MID($E16,4,3),'Wochentag F(WT)'!$B$7:$J$22,W$9,0),4)</f>
        <v>0.93</v>
      </c>
      <c r="X16" s="233">
        <f t="shared" si="2"/>
        <v>0.95000000000000018</v>
      </c>
      <c r="Y16" s="250"/>
      <c r="Z16" s="171"/>
    </row>
    <row r="17" spans="2:26" s="116" customFormat="1">
      <c r="B17" s="117">
        <v>6</v>
      </c>
      <c r="C17" s="118" t="str">
        <f t="shared" si="0"/>
        <v>THE H-Gas</v>
      </c>
      <c r="D17" s="46" t="s">
        <v>249</v>
      </c>
      <c r="E17" s="137" t="s">
        <v>672</v>
      </c>
      <c r="F17" s="254" t="str">
        <f>VLOOKUP($E17,'BDEW-Standard'!$B$3:$M$94,F$9,0)</f>
        <v>HA3</v>
      </c>
      <c r="H17" s="229">
        <f>ROUND(VLOOKUP($E17,'BDEW-Standard'!$B$3:$M$94,H$9,0),7)</f>
        <v>3.5811213999999998</v>
      </c>
      <c r="I17" s="229">
        <f>ROUND(VLOOKUP($E17,'BDEW-Standard'!$B$3:$M$94,I$9,0),7)</f>
        <v>-36.965006500000001</v>
      </c>
      <c r="J17" s="229">
        <f>ROUND(VLOOKUP($E17,'BDEW-Standard'!$B$3:$M$94,J$9,0),7)</f>
        <v>7.2256947</v>
      </c>
      <c r="K17" s="229">
        <f>ROUND(VLOOKUP($E17,'BDEW-Standard'!$B$3:$M$94,K$9,0),7)</f>
        <v>4.4841600000000002E-2</v>
      </c>
      <c r="L17" s="230">
        <f>ROUND(VLOOKUP($E17,'BDEW-Standard'!$B$3:$M$94,L$9,0),1)</f>
        <v>40</v>
      </c>
      <c r="M17" s="229">
        <f>ROUND(VLOOKUP($E17,'BDEW-Standard'!$B$3:$M$94,M$9,0),7)</f>
        <v>0</v>
      </c>
      <c r="N17" s="229">
        <f>ROUND(VLOOKUP($E17,'BDEW-Standard'!$B$3:$M$94,N$9,0),7)</f>
        <v>0</v>
      </c>
      <c r="O17" s="229">
        <f>ROUND(VLOOKUP($E17,'BDEW-Standard'!$B$3:$M$94,O$9,0),7)</f>
        <v>0</v>
      </c>
      <c r="P17" s="229">
        <f>ROUND(VLOOKUP($E17,'BDEW-Standard'!$B$3:$M$94,P$9,0),7)</f>
        <v>0</v>
      </c>
      <c r="Q17" s="231">
        <f t="shared" si="1"/>
        <v>0.97852945357176691</v>
      </c>
      <c r="R17" s="232">
        <f>ROUND(VLOOKUP(MID($E17,4,3),'Wochentag F(WT)'!$B$7:$J$22,R$9,0),4)</f>
        <v>1.0358000000000001</v>
      </c>
      <c r="S17" s="232">
        <f>ROUND(VLOOKUP(MID($E17,4,3),'Wochentag F(WT)'!$B$7:$J$22,S$9,0),4)</f>
        <v>1.0232000000000001</v>
      </c>
      <c r="T17" s="232">
        <f>ROUND(VLOOKUP(MID($E17,4,3),'Wochentag F(WT)'!$B$7:$J$22,T$9,0),4)</f>
        <v>1.0251999999999999</v>
      </c>
      <c r="U17" s="232">
        <f>ROUND(VLOOKUP(MID($E17,4,3),'Wochentag F(WT)'!$B$7:$J$22,U$9,0),4)</f>
        <v>1.0295000000000001</v>
      </c>
      <c r="V17" s="232">
        <f>ROUND(VLOOKUP(MID($E17,4,3),'Wochentag F(WT)'!$B$7:$J$22,V$9,0),4)</f>
        <v>1.0253000000000001</v>
      </c>
      <c r="W17" s="232">
        <f>ROUND(VLOOKUP(MID($E17,4,3),'Wochentag F(WT)'!$B$7:$J$22,W$9,0),4)</f>
        <v>0.96750000000000003</v>
      </c>
      <c r="X17" s="233">
        <f t="shared" si="2"/>
        <v>0.89350000000000041</v>
      </c>
      <c r="Y17" s="250"/>
      <c r="Z17" s="171"/>
    </row>
    <row r="18" spans="2:26" s="116" customFormat="1">
      <c r="B18" s="117">
        <v>7</v>
      </c>
      <c r="C18" s="118" t="str">
        <f t="shared" si="0"/>
        <v>THE H-Gas</v>
      </c>
      <c r="D18" s="46" t="s">
        <v>249</v>
      </c>
      <c r="E18" s="137" t="s">
        <v>673</v>
      </c>
      <c r="F18" s="254" t="str">
        <f>VLOOKUP($E18,'BDEW-Standard'!$B$3:$M$94,F$9,0)</f>
        <v>KO3</v>
      </c>
      <c r="H18" s="229">
        <f>ROUND(VLOOKUP($E18,'BDEW-Standard'!$B$3:$M$94,H$9,0),7)</f>
        <v>2.7172288</v>
      </c>
      <c r="I18" s="229">
        <f>ROUND(VLOOKUP($E18,'BDEW-Standard'!$B$3:$M$94,I$9,0),7)</f>
        <v>-35.141256300000002</v>
      </c>
      <c r="J18" s="229">
        <f>ROUND(VLOOKUP($E18,'BDEW-Standard'!$B$3:$M$94,J$9,0),7)</f>
        <v>7.1303394999999998</v>
      </c>
      <c r="K18" s="229">
        <f>ROUND(VLOOKUP($E18,'BDEW-Standard'!$B$3:$M$94,K$9,0),7)</f>
        <v>0.14184720000000001</v>
      </c>
      <c r="L18" s="230">
        <f>ROUND(VLOOKUP($E18,'BDEW-Standard'!$B$3:$M$94,L$9,0),1)</f>
        <v>40</v>
      </c>
      <c r="M18" s="229">
        <f>ROUND(VLOOKUP($E18,'BDEW-Standard'!$B$3:$M$94,M$9,0),7)</f>
        <v>0</v>
      </c>
      <c r="N18" s="229">
        <f>ROUND(VLOOKUP($E18,'BDEW-Standard'!$B$3:$M$94,N$9,0),7)</f>
        <v>0</v>
      </c>
      <c r="O18" s="229">
        <f>ROUND(VLOOKUP($E18,'BDEW-Standard'!$B$3:$M$94,O$9,0),7)</f>
        <v>0</v>
      </c>
      <c r="P18" s="229">
        <f>ROUND(VLOOKUP($E18,'BDEW-Standard'!$B$3:$M$94,P$9,0),7)</f>
        <v>0</v>
      </c>
      <c r="Q18" s="231">
        <f t="shared" si="1"/>
        <v>1.0630299199876638</v>
      </c>
      <c r="R18" s="232">
        <f>ROUND(VLOOKUP(MID($E18,4,3),'Wochentag F(WT)'!$B$7:$J$22,R$9,0),4)</f>
        <v>1.0354000000000001</v>
      </c>
      <c r="S18" s="232">
        <f>ROUND(VLOOKUP(MID($E18,4,3),'Wochentag F(WT)'!$B$7:$J$22,S$9,0),4)</f>
        <v>1.0523</v>
      </c>
      <c r="T18" s="232">
        <f>ROUND(VLOOKUP(MID($E18,4,3),'Wochentag F(WT)'!$B$7:$J$22,T$9,0),4)</f>
        <v>1.0448999999999999</v>
      </c>
      <c r="U18" s="232">
        <f>ROUND(VLOOKUP(MID($E18,4,3),'Wochentag F(WT)'!$B$7:$J$22,U$9,0),4)</f>
        <v>1.0494000000000001</v>
      </c>
      <c r="V18" s="232">
        <f>ROUND(VLOOKUP(MID($E18,4,3),'Wochentag F(WT)'!$B$7:$J$22,V$9,0),4)</f>
        <v>0.98850000000000005</v>
      </c>
      <c r="W18" s="232">
        <f>ROUND(VLOOKUP(MID($E18,4,3),'Wochentag F(WT)'!$B$7:$J$22,W$9,0),4)</f>
        <v>0.88600000000000001</v>
      </c>
      <c r="X18" s="233">
        <f t="shared" si="2"/>
        <v>0.94349999999999934</v>
      </c>
      <c r="Y18" s="250"/>
      <c r="Z18" s="171"/>
    </row>
    <row r="19" spans="2:26" s="116" customFormat="1">
      <c r="B19" s="117">
        <v>8</v>
      </c>
      <c r="C19" s="118" t="str">
        <f t="shared" si="0"/>
        <v>THE H-Gas</v>
      </c>
      <c r="D19" s="46" t="s">
        <v>249</v>
      </c>
      <c r="E19" s="137" t="s">
        <v>674</v>
      </c>
      <c r="F19" s="254" t="str">
        <f>VLOOKUP($E19,'BDEW-Standard'!$B$3:$M$94,F$9,0)</f>
        <v>GA3</v>
      </c>
      <c r="H19" s="229">
        <f>ROUND(VLOOKUP($E19,'BDEW-Standard'!$B$3:$M$94,H$9,0),7)</f>
        <v>2.2850164999999998</v>
      </c>
      <c r="I19" s="229">
        <f>ROUND(VLOOKUP($E19,'BDEW-Standard'!$B$3:$M$94,I$9,0),7)</f>
        <v>-36.287858399999998</v>
      </c>
      <c r="J19" s="229">
        <f>ROUND(VLOOKUP($E19,'BDEW-Standard'!$B$3:$M$94,J$9,0),7)</f>
        <v>6.5885125999999996</v>
      </c>
      <c r="K19" s="229">
        <f>ROUND(VLOOKUP($E19,'BDEW-Standard'!$B$3:$M$94,K$9,0),7)</f>
        <v>0.31505349999999999</v>
      </c>
      <c r="L19" s="230">
        <f>ROUND(VLOOKUP($E19,'BDEW-Standard'!$B$3:$M$94,L$9,0),1)</f>
        <v>40</v>
      </c>
      <c r="M19" s="229">
        <f>ROUND(VLOOKUP($E19,'BDEW-Standard'!$B$3:$M$94,M$9,0),7)</f>
        <v>0</v>
      </c>
      <c r="N19" s="229">
        <f>ROUND(VLOOKUP($E19,'BDEW-Standard'!$B$3:$M$94,N$9,0),7)</f>
        <v>0</v>
      </c>
      <c r="O19" s="229">
        <f>ROUND(VLOOKUP($E19,'BDEW-Standard'!$B$3:$M$94,O$9,0),7)</f>
        <v>0</v>
      </c>
      <c r="P19" s="229">
        <f>ROUND(VLOOKUP($E19,'BDEW-Standard'!$B$3:$M$94,P$9,0),7)</f>
        <v>0</v>
      </c>
      <c r="Q19" s="231">
        <f t="shared" si="1"/>
        <v>1.0096183914256316</v>
      </c>
      <c r="R19" s="232">
        <f>ROUND(VLOOKUP(MID($E19,4,3),'Wochentag F(WT)'!$B$7:$J$22,R$9,0),4)</f>
        <v>0.93220000000000003</v>
      </c>
      <c r="S19" s="232">
        <f>ROUND(VLOOKUP(MID($E19,4,3),'Wochentag F(WT)'!$B$7:$J$22,S$9,0),4)</f>
        <v>0.98939999999999995</v>
      </c>
      <c r="T19" s="232">
        <f>ROUND(VLOOKUP(MID($E19,4,3),'Wochentag F(WT)'!$B$7:$J$22,T$9,0),4)</f>
        <v>1.0033000000000001</v>
      </c>
      <c r="U19" s="232">
        <f>ROUND(VLOOKUP(MID($E19,4,3),'Wochentag F(WT)'!$B$7:$J$22,U$9,0),4)</f>
        <v>1.0108999999999999</v>
      </c>
      <c r="V19" s="232">
        <f>ROUND(VLOOKUP(MID($E19,4,3),'Wochentag F(WT)'!$B$7:$J$22,V$9,0),4)</f>
        <v>1.018</v>
      </c>
      <c r="W19" s="232">
        <f>ROUND(VLOOKUP(MID($E19,4,3),'Wochentag F(WT)'!$B$7:$J$22,W$9,0),4)</f>
        <v>1.0356000000000001</v>
      </c>
      <c r="X19" s="233">
        <f t="shared" si="2"/>
        <v>1.0106000000000002</v>
      </c>
      <c r="Y19" s="250"/>
      <c r="Z19" s="171"/>
    </row>
    <row r="20" spans="2:26" s="116" customFormat="1">
      <c r="B20" s="117">
        <v>9</v>
      </c>
      <c r="C20" s="118" t="str">
        <f t="shared" si="0"/>
        <v>THE H-Gas</v>
      </c>
      <c r="D20" s="46" t="s">
        <v>249</v>
      </c>
      <c r="E20" s="137" t="s">
        <v>675</v>
      </c>
      <c r="F20" s="254" t="str">
        <f>VLOOKUP($E20,'BDEW-Standard'!$B$3:$M$94,F$9,0)</f>
        <v>BD3</v>
      </c>
      <c r="H20" s="229">
        <f>ROUND(VLOOKUP($E20,'BDEW-Standard'!$B$3:$M$94,H$9,0),7)</f>
        <v>2.9177027</v>
      </c>
      <c r="I20" s="229">
        <f>ROUND(VLOOKUP($E20,'BDEW-Standard'!$B$3:$M$94,I$9,0),7)</f>
        <v>-36.179411700000003</v>
      </c>
      <c r="J20" s="229">
        <f>ROUND(VLOOKUP($E20,'BDEW-Standard'!$B$3:$M$94,J$9,0),7)</f>
        <v>5.9265162</v>
      </c>
      <c r="K20" s="229">
        <f>ROUND(VLOOKUP($E20,'BDEW-Standard'!$B$3:$M$94,K$9,0),7)</f>
        <v>0.11519119999999999</v>
      </c>
      <c r="L20" s="230">
        <f>ROUND(VLOOKUP($E20,'BDEW-Standard'!$B$3:$M$94,L$9,0),1)</f>
        <v>40</v>
      </c>
      <c r="M20" s="229">
        <f>ROUND(VLOOKUP($E20,'BDEW-Standard'!$B$3:$M$94,M$9,0),7)</f>
        <v>0</v>
      </c>
      <c r="N20" s="229">
        <f>ROUND(VLOOKUP($E20,'BDEW-Standard'!$B$3:$M$94,N$9,0),7)</f>
        <v>0</v>
      </c>
      <c r="O20" s="229">
        <f>ROUND(VLOOKUP($E20,'BDEW-Standard'!$B$3:$M$94,O$9,0),7)</f>
        <v>0</v>
      </c>
      <c r="P20" s="229">
        <f>ROUND(VLOOKUP($E20,'BDEW-Standard'!$B$3:$M$94,P$9,0),7)</f>
        <v>0</v>
      </c>
      <c r="Q20" s="231">
        <f t="shared" si="1"/>
        <v>1.0656106174494469</v>
      </c>
      <c r="R20" s="232">
        <f>ROUND(VLOOKUP(MID($E20,4,3),'Wochentag F(WT)'!$B$7:$J$22,R$9,0),4)</f>
        <v>1.1052</v>
      </c>
      <c r="S20" s="232">
        <f>ROUND(VLOOKUP(MID($E20,4,3),'Wochentag F(WT)'!$B$7:$J$22,S$9,0),4)</f>
        <v>1.0857000000000001</v>
      </c>
      <c r="T20" s="232">
        <f>ROUND(VLOOKUP(MID($E20,4,3),'Wochentag F(WT)'!$B$7:$J$22,T$9,0),4)</f>
        <v>1.0378000000000001</v>
      </c>
      <c r="U20" s="232">
        <f>ROUND(VLOOKUP(MID($E20,4,3),'Wochentag F(WT)'!$B$7:$J$22,U$9,0),4)</f>
        <v>1.0622</v>
      </c>
      <c r="V20" s="232">
        <f>ROUND(VLOOKUP(MID($E20,4,3),'Wochentag F(WT)'!$B$7:$J$22,V$9,0),4)</f>
        <v>1.0266</v>
      </c>
      <c r="W20" s="232">
        <f>ROUND(VLOOKUP(MID($E20,4,3),'Wochentag F(WT)'!$B$7:$J$22,W$9,0),4)</f>
        <v>0.76290000000000002</v>
      </c>
      <c r="X20" s="233">
        <f t="shared" si="2"/>
        <v>0.91959999999999997</v>
      </c>
      <c r="Y20" s="250"/>
      <c r="Z20" s="171"/>
    </row>
    <row r="21" spans="2:26" s="116" customFormat="1">
      <c r="B21" s="117">
        <v>10</v>
      </c>
      <c r="C21" s="118" t="str">
        <f t="shared" si="0"/>
        <v>THE H-Gas</v>
      </c>
      <c r="D21" s="46" t="s">
        <v>249</v>
      </c>
      <c r="E21" s="137" t="s">
        <v>676</v>
      </c>
      <c r="F21" s="254" t="str">
        <f>VLOOKUP($E21,'BDEW-Standard'!$B$3:$M$94,F$9,0)</f>
        <v>MK3</v>
      </c>
      <c r="H21" s="229">
        <f>ROUND(VLOOKUP($E21,'BDEW-Standard'!$B$3:$M$94,H$9,0),7)</f>
        <v>2.7882424000000001</v>
      </c>
      <c r="I21" s="229">
        <f>ROUND(VLOOKUP($E21,'BDEW-Standard'!$B$3:$M$94,I$9,0),7)</f>
        <v>-34.880612999999997</v>
      </c>
      <c r="J21" s="229">
        <f>ROUND(VLOOKUP($E21,'BDEW-Standard'!$B$3:$M$94,J$9,0),7)</f>
        <v>6.5951899000000003</v>
      </c>
      <c r="K21" s="229">
        <f>ROUND(VLOOKUP($E21,'BDEW-Standard'!$B$3:$M$94,K$9,0),7)</f>
        <v>5.4032900000000002E-2</v>
      </c>
      <c r="L21" s="230">
        <f>ROUND(VLOOKUP($E21,'BDEW-Standard'!$B$3:$M$94,L$9,0),1)</f>
        <v>40</v>
      </c>
      <c r="M21" s="229">
        <f>ROUND(VLOOKUP($E21,'BDEW-Standard'!$B$3:$M$94,M$9,0),7)</f>
        <v>0</v>
      </c>
      <c r="N21" s="229">
        <f>ROUND(VLOOKUP($E21,'BDEW-Standard'!$B$3:$M$94,N$9,0),7)</f>
        <v>0</v>
      </c>
      <c r="O21" s="229">
        <f>ROUND(VLOOKUP($E21,'BDEW-Standard'!$B$3:$M$94,O$9,0),7)</f>
        <v>0</v>
      </c>
      <c r="P21" s="229">
        <f>ROUND(VLOOKUP($E21,'BDEW-Standard'!$B$3:$M$94,P$9,0),7)</f>
        <v>0</v>
      </c>
      <c r="Q21" s="231">
        <f t="shared" si="1"/>
        <v>1.0622306107520199</v>
      </c>
      <c r="R21" s="232">
        <f>ROUND(VLOOKUP(MID($E21,4,3),'Wochentag F(WT)'!$B$7:$J$22,R$9,0),4)</f>
        <v>1.0699000000000001</v>
      </c>
      <c r="S21" s="232">
        <f>ROUND(VLOOKUP(MID($E21,4,3),'Wochentag F(WT)'!$B$7:$J$22,S$9,0),4)</f>
        <v>1.0365</v>
      </c>
      <c r="T21" s="232">
        <f>ROUND(VLOOKUP(MID($E21,4,3),'Wochentag F(WT)'!$B$7:$J$22,T$9,0),4)</f>
        <v>0.99329999999999996</v>
      </c>
      <c r="U21" s="232">
        <f>ROUND(VLOOKUP(MID($E21,4,3),'Wochentag F(WT)'!$B$7:$J$22,U$9,0),4)</f>
        <v>0.99480000000000002</v>
      </c>
      <c r="V21" s="232">
        <f>ROUND(VLOOKUP(MID($E21,4,3),'Wochentag F(WT)'!$B$7:$J$22,V$9,0),4)</f>
        <v>1.0659000000000001</v>
      </c>
      <c r="W21" s="232">
        <f>ROUND(VLOOKUP(MID($E21,4,3),'Wochentag F(WT)'!$B$7:$J$22,W$9,0),4)</f>
        <v>0.93620000000000003</v>
      </c>
      <c r="X21" s="233">
        <f t="shared" si="2"/>
        <v>0.90339999999999954</v>
      </c>
      <c r="Y21" s="250"/>
      <c r="Z21" s="171"/>
    </row>
    <row r="22" spans="2:26" s="116" customFormat="1">
      <c r="B22" s="117">
        <v>11</v>
      </c>
      <c r="C22" s="118" t="str">
        <f t="shared" si="0"/>
        <v>THE H-Gas</v>
      </c>
      <c r="D22" s="46" t="s">
        <v>249</v>
      </c>
      <c r="E22" s="137" t="s">
        <v>677</v>
      </c>
      <c r="F22" s="254" t="str">
        <f>VLOOKUP($E22,'BDEW-Standard'!$B$3:$M$94,F$9,0)</f>
        <v>WA1</v>
      </c>
      <c r="H22" s="229">
        <f>ROUND(VLOOKUP($E22,'BDEW-Standard'!$B$3:$M$94,H$9,0),7)</f>
        <v>0.4</v>
      </c>
      <c r="I22" s="229">
        <f>ROUND(VLOOKUP($E22,'BDEW-Standard'!$B$3:$M$94,I$9,0),7)</f>
        <v>-40.514948199999999</v>
      </c>
      <c r="J22" s="229">
        <f>ROUND(VLOOKUP($E22,'BDEW-Standard'!$B$3:$M$94,J$9,0),7)</f>
        <v>2.8747957</v>
      </c>
      <c r="K22" s="229">
        <f>ROUND(VLOOKUP($E22,'BDEW-Standard'!$B$3:$M$94,K$9,0),7)</f>
        <v>0.93510760000000004</v>
      </c>
      <c r="L22" s="230">
        <f>ROUND(VLOOKUP($E22,'BDEW-Standard'!$B$3:$M$94,L$9,0),1)</f>
        <v>40</v>
      </c>
      <c r="M22" s="229">
        <f>ROUND(VLOOKUP($E22,'BDEW-Standard'!$B$3:$M$94,M$9,0),7)</f>
        <v>0</v>
      </c>
      <c r="N22" s="229">
        <f>ROUND(VLOOKUP($E22,'BDEW-Standard'!$B$3:$M$94,N$9,0),7)</f>
        <v>0</v>
      </c>
      <c r="O22" s="229">
        <f>ROUND(VLOOKUP($E22,'BDEW-Standard'!$B$3:$M$94,O$9,0),7)</f>
        <v>0</v>
      </c>
      <c r="P22" s="229">
        <f>ROUND(VLOOKUP($E22,'BDEW-Standard'!$B$3:$M$94,P$9,0),7)</f>
        <v>0</v>
      </c>
      <c r="Q22" s="231">
        <f t="shared" si="1"/>
        <v>1.0697670411738398</v>
      </c>
      <c r="R22" s="232">
        <f>ROUND(VLOOKUP(MID($E22,4,3),'Wochentag F(WT)'!$B$7:$J$22,R$9,0),4)</f>
        <v>1.2457</v>
      </c>
      <c r="S22" s="232">
        <f>ROUND(VLOOKUP(MID($E22,4,3),'Wochentag F(WT)'!$B$7:$J$22,S$9,0),4)</f>
        <v>1.2615000000000001</v>
      </c>
      <c r="T22" s="232">
        <f>ROUND(VLOOKUP(MID($E22,4,3),'Wochentag F(WT)'!$B$7:$J$22,T$9,0),4)</f>
        <v>1.2706999999999999</v>
      </c>
      <c r="U22" s="232">
        <f>ROUND(VLOOKUP(MID($E22,4,3),'Wochentag F(WT)'!$B$7:$J$22,U$9,0),4)</f>
        <v>1.2430000000000001</v>
      </c>
      <c r="V22" s="232">
        <f>ROUND(VLOOKUP(MID($E22,4,3),'Wochentag F(WT)'!$B$7:$J$22,V$9,0),4)</f>
        <v>1.1275999999999999</v>
      </c>
      <c r="W22" s="232">
        <f>ROUND(VLOOKUP(MID($E22,4,3),'Wochentag F(WT)'!$B$7:$J$22,W$9,0),4)</f>
        <v>0.38769999999999999</v>
      </c>
      <c r="X22" s="233">
        <f t="shared" si="2"/>
        <v>0.46379999999999999</v>
      </c>
      <c r="Y22" s="250"/>
      <c r="Z22" s="171"/>
    </row>
    <row r="23" spans="2:26" s="116" customFormat="1">
      <c r="B23" s="117">
        <v>12</v>
      </c>
      <c r="C23" s="118" t="str">
        <f t="shared" si="0"/>
        <v>THE H-Gas</v>
      </c>
      <c r="D23" s="46" t="s">
        <v>249</v>
      </c>
      <c r="E23" s="137" t="s">
        <v>678</v>
      </c>
      <c r="F23" s="254" t="str">
        <f>VLOOKUP($E23,'BDEW-Standard'!$B$3:$M$94,F$9,0)</f>
        <v>WA3</v>
      </c>
      <c r="H23" s="229">
        <f>ROUND(VLOOKUP($E23,'BDEW-Standard'!$B$3:$M$94,H$9,0),7)</f>
        <v>0.76572899999999999</v>
      </c>
      <c r="I23" s="229">
        <f>ROUND(VLOOKUP($E23,'BDEW-Standard'!$B$3:$M$94,I$9,0),7)</f>
        <v>-36.023791199999998</v>
      </c>
      <c r="J23" s="229">
        <f>ROUND(VLOOKUP($E23,'BDEW-Standard'!$B$3:$M$94,J$9,0),7)</f>
        <v>4.8662747</v>
      </c>
      <c r="K23" s="229">
        <f>ROUND(VLOOKUP($E23,'BDEW-Standard'!$B$3:$M$94,K$9,0),7)</f>
        <v>0.80494250000000001</v>
      </c>
      <c r="L23" s="230">
        <f>ROUND(VLOOKUP($E23,'BDEW-Standard'!$B$3:$M$94,L$9,0),1)</f>
        <v>40</v>
      </c>
      <c r="M23" s="229">
        <f>ROUND(VLOOKUP($E23,'BDEW-Standard'!$B$3:$M$94,M$9,0),7)</f>
        <v>0</v>
      </c>
      <c r="N23" s="229">
        <f>ROUND(VLOOKUP($E23,'BDEW-Standard'!$B$3:$M$94,N$9,0),7)</f>
        <v>0</v>
      </c>
      <c r="O23" s="229">
        <f>ROUND(VLOOKUP($E23,'BDEW-Standard'!$B$3:$M$94,O$9,0),7)</f>
        <v>0</v>
      </c>
      <c r="P23" s="229">
        <f>ROUND(VLOOKUP($E23,'BDEW-Standard'!$B$3:$M$94,P$9,0),7)</f>
        <v>0</v>
      </c>
      <c r="Q23" s="231">
        <f t="shared" si="1"/>
        <v>1.0804258319686442</v>
      </c>
      <c r="R23" s="232">
        <f>ROUND(VLOOKUP(MID($E23,4,3),'Wochentag F(WT)'!$B$7:$J$22,R$9,0),4)</f>
        <v>1.2457</v>
      </c>
      <c r="S23" s="232">
        <f>ROUND(VLOOKUP(MID($E23,4,3),'Wochentag F(WT)'!$B$7:$J$22,S$9,0),4)</f>
        <v>1.2615000000000001</v>
      </c>
      <c r="T23" s="232">
        <f>ROUND(VLOOKUP(MID($E23,4,3),'Wochentag F(WT)'!$B$7:$J$22,T$9,0),4)</f>
        <v>1.2706999999999999</v>
      </c>
      <c r="U23" s="232">
        <f>ROUND(VLOOKUP(MID($E23,4,3),'Wochentag F(WT)'!$B$7:$J$22,U$9,0),4)</f>
        <v>1.2430000000000001</v>
      </c>
      <c r="V23" s="232">
        <f>ROUND(VLOOKUP(MID($E23,4,3),'Wochentag F(WT)'!$B$7:$J$22,V$9,0),4)</f>
        <v>1.1275999999999999</v>
      </c>
      <c r="W23" s="232">
        <f>ROUND(VLOOKUP(MID($E23,4,3),'Wochentag F(WT)'!$B$7:$J$22,W$9,0),4)</f>
        <v>0.38769999999999999</v>
      </c>
      <c r="X23" s="233">
        <f t="shared" si="2"/>
        <v>0.46379999999999999</v>
      </c>
      <c r="Y23" s="250"/>
      <c r="Z23" s="171"/>
    </row>
    <row r="24" spans="2:26" s="116" customFormat="1">
      <c r="B24" s="117">
        <v>13</v>
      </c>
      <c r="C24" s="118" t="str">
        <f t="shared" si="0"/>
        <v>THE H-Gas</v>
      </c>
      <c r="D24" s="46" t="s">
        <v>249</v>
      </c>
      <c r="E24" s="137" t="s">
        <v>679</v>
      </c>
      <c r="F24" s="254" t="str">
        <f>VLOOKUP($E24,'BDEW-Standard'!$B$3:$M$94,F$9,0)</f>
        <v>BA3</v>
      </c>
      <c r="H24" s="229">
        <f>ROUND(VLOOKUP($E24,'BDEW-Standard'!$B$3:$M$94,H$9,0),7)</f>
        <v>0.62619619999999998</v>
      </c>
      <c r="I24" s="229">
        <f>ROUND(VLOOKUP($E24,'BDEW-Standard'!$B$3:$M$94,I$9,0),7)</f>
        <v>-33</v>
      </c>
      <c r="J24" s="229">
        <f>ROUND(VLOOKUP($E24,'BDEW-Standard'!$B$3:$M$94,J$9,0),7)</f>
        <v>5.7212303000000002</v>
      </c>
      <c r="K24" s="229">
        <f>ROUND(VLOOKUP($E24,'BDEW-Standard'!$B$3:$M$94,K$9,0),7)</f>
        <v>0.78556550000000003</v>
      </c>
      <c r="L24" s="230">
        <f>ROUND(VLOOKUP($E24,'BDEW-Standard'!$B$3:$M$94,L$9,0),1)</f>
        <v>40</v>
      </c>
      <c r="M24" s="229">
        <f>ROUND(VLOOKUP($E24,'BDEW-Standard'!$B$3:$M$94,M$9,0),7)</f>
        <v>0</v>
      </c>
      <c r="N24" s="229">
        <f>ROUND(VLOOKUP($E24,'BDEW-Standard'!$B$3:$M$94,N$9,0),7)</f>
        <v>0</v>
      </c>
      <c r="O24" s="229">
        <f>ROUND(VLOOKUP($E24,'BDEW-Standard'!$B$3:$M$94,O$9,0),7)</f>
        <v>0</v>
      </c>
      <c r="P24" s="229">
        <f>ROUND(VLOOKUP($E24,'BDEW-Standard'!$B$3:$M$94,P$9,0),7)</f>
        <v>0</v>
      </c>
      <c r="Q24" s="231">
        <f t="shared" si="1"/>
        <v>1.0711738317583412</v>
      </c>
      <c r="R24" s="232">
        <f>ROUND(VLOOKUP(MID($E24,4,3),'Wochentag F(WT)'!$B$7:$J$22,R$9,0),4)</f>
        <v>1.0848</v>
      </c>
      <c r="S24" s="232">
        <f>ROUND(VLOOKUP(MID($E24,4,3),'Wochentag F(WT)'!$B$7:$J$22,S$9,0),4)</f>
        <v>1.1211</v>
      </c>
      <c r="T24" s="232">
        <f>ROUND(VLOOKUP(MID($E24,4,3),'Wochentag F(WT)'!$B$7:$J$22,T$9,0),4)</f>
        <v>1.0769</v>
      </c>
      <c r="U24" s="232">
        <f>ROUND(VLOOKUP(MID($E24,4,3),'Wochentag F(WT)'!$B$7:$J$22,U$9,0),4)</f>
        <v>1.1353</v>
      </c>
      <c r="V24" s="232">
        <f>ROUND(VLOOKUP(MID($E24,4,3),'Wochentag F(WT)'!$B$7:$J$22,V$9,0),4)</f>
        <v>1.1402000000000001</v>
      </c>
      <c r="W24" s="232">
        <f>ROUND(VLOOKUP(MID($E24,4,3),'Wochentag F(WT)'!$B$7:$J$22,W$9,0),4)</f>
        <v>0.48520000000000002</v>
      </c>
      <c r="X24" s="233">
        <f t="shared" si="2"/>
        <v>0.95650000000000013</v>
      </c>
      <c r="Y24" s="250"/>
      <c r="Z24" s="171"/>
    </row>
    <row r="25" spans="2:26" s="116" customFormat="1">
      <c r="B25" s="117">
        <v>14</v>
      </c>
      <c r="C25" s="118" t="str">
        <f t="shared" si="0"/>
        <v>THE H-Gas</v>
      </c>
      <c r="D25" s="46" t="s">
        <v>249</v>
      </c>
      <c r="E25" s="137" t="s">
        <v>680</v>
      </c>
      <c r="F25" s="254" t="str">
        <f>VLOOKUP($E25,'BDEW-Standard'!$B$3:$M$94,F$9,0)</f>
        <v>BH3</v>
      </c>
      <c r="H25" s="229">
        <f>ROUND(VLOOKUP($E25,'BDEW-Standard'!$B$3:$M$94,H$9,0),7)</f>
        <v>2.0102471999999998</v>
      </c>
      <c r="I25" s="229">
        <f>ROUND(VLOOKUP($E25,'BDEW-Standard'!$B$3:$M$94,I$9,0),7)</f>
        <v>-35.253212400000002</v>
      </c>
      <c r="J25" s="229">
        <f>ROUND(VLOOKUP($E25,'BDEW-Standard'!$B$3:$M$94,J$9,0),7)</f>
        <v>6.1544406</v>
      </c>
      <c r="K25" s="229">
        <f>ROUND(VLOOKUP($E25,'BDEW-Standard'!$B$3:$M$94,K$9,0),7)</f>
        <v>0.32947409999999999</v>
      </c>
      <c r="L25" s="230">
        <f>ROUND(VLOOKUP($E25,'BDEW-Standard'!$B$3:$M$94,L$9,0),1)</f>
        <v>40</v>
      </c>
      <c r="M25" s="229">
        <f>ROUND(VLOOKUP($E25,'BDEW-Standard'!$B$3:$M$94,M$9,0),7)</f>
        <v>0</v>
      </c>
      <c r="N25" s="229">
        <f>ROUND(VLOOKUP($E25,'BDEW-Standard'!$B$3:$M$94,N$9,0),7)</f>
        <v>0</v>
      </c>
      <c r="O25" s="229">
        <f>ROUND(VLOOKUP($E25,'BDEW-Standard'!$B$3:$M$94,O$9,0),7)</f>
        <v>0</v>
      </c>
      <c r="P25" s="229">
        <f>ROUND(VLOOKUP($E25,'BDEW-Standard'!$B$3:$M$94,P$9,0),7)</f>
        <v>0</v>
      </c>
      <c r="Q25" s="231">
        <f t="shared" si="1"/>
        <v>1.0436896084076008</v>
      </c>
      <c r="R25" s="232">
        <f>ROUND(VLOOKUP(MID($E25,4,3),'Wochentag F(WT)'!$B$7:$J$22,R$9,0),4)</f>
        <v>0.97670000000000001</v>
      </c>
      <c r="S25" s="232">
        <f>ROUND(VLOOKUP(MID($E25,4,3),'Wochentag F(WT)'!$B$7:$J$22,S$9,0),4)</f>
        <v>1.0388999999999999</v>
      </c>
      <c r="T25" s="232">
        <f>ROUND(VLOOKUP(MID($E25,4,3),'Wochentag F(WT)'!$B$7:$J$22,T$9,0),4)</f>
        <v>1.0027999999999999</v>
      </c>
      <c r="U25" s="232">
        <f>ROUND(VLOOKUP(MID($E25,4,3),'Wochentag F(WT)'!$B$7:$J$22,U$9,0),4)</f>
        <v>1.0162</v>
      </c>
      <c r="V25" s="232">
        <f>ROUND(VLOOKUP(MID($E25,4,3),'Wochentag F(WT)'!$B$7:$J$22,V$9,0),4)</f>
        <v>1.0024</v>
      </c>
      <c r="W25" s="232">
        <f>ROUND(VLOOKUP(MID($E25,4,3),'Wochentag F(WT)'!$B$7:$J$22,W$9,0),4)</f>
        <v>1.0043</v>
      </c>
      <c r="X25" s="233">
        <f t="shared" si="2"/>
        <v>0.95870000000000122</v>
      </c>
      <c r="Y25" s="250"/>
      <c r="Z25" s="171"/>
    </row>
    <row r="26" spans="2:26" s="116" customFormat="1">
      <c r="B26" s="117">
        <v>15</v>
      </c>
      <c r="C26" s="118" t="str">
        <f t="shared" si="0"/>
        <v>THE H-Gas</v>
      </c>
      <c r="D26" s="46" t="s">
        <v>249</v>
      </c>
      <c r="E26" s="137" t="s">
        <v>681</v>
      </c>
      <c r="F26" s="254" t="str">
        <f>VLOOKUP($E26,'BDEW-Standard'!$B$3:$M$94,F$9,0)</f>
        <v>PD3</v>
      </c>
      <c r="H26" s="229">
        <f>ROUND(VLOOKUP($E26,'BDEW-Standard'!$B$3:$M$94,H$9,0),7)</f>
        <v>3.2</v>
      </c>
      <c r="I26" s="229">
        <f>ROUND(VLOOKUP($E26,'BDEW-Standard'!$B$3:$M$94,I$9,0),7)</f>
        <v>-35.799999999999997</v>
      </c>
      <c r="J26" s="229">
        <f>ROUND(VLOOKUP($E26,'BDEW-Standard'!$B$3:$M$94,J$9,0),7)</f>
        <v>8.4</v>
      </c>
      <c r="K26" s="229">
        <f>ROUND(VLOOKUP($E26,'BDEW-Standard'!$B$3:$M$94,K$9,0),7)</f>
        <v>9.3848600000000004E-2</v>
      </c>
      <c r="L26" s="230">
        <f>ROUND(VLOOKUP($E26,'BDEW-Standard'!$B$3:$M$94,L$9,0),1)</f>
        <v>40</v>
      </c>
      <c r="M26" s="229">
        <f>ROUND(VLOOKUP($E26,'BDEW-Standard'!$B$3:$M$94,M$9,0),7)</f>
        <v>0</v>
      </c>
      <c r="N26" s="229">
        <f>ROUND(VLOOKUP($E26,'BDEW-Standard'!$B$3:$M$94,N$9,0),7)</f>
        <v>0</v>
      </c>
      <c r="O26" s="229">
        <f>ROUND(VLOOKUP($E26,'BDEW-Standard'!$B$3:$M$94,O$9,0),7)</f>
        <v>0</v>
      </c>
      <c r="P26" s="229">
        <f>ROUND(VLOOKUP($E26,'BDEW-Standard'!$B$3:$M$94,P$9,0),7)</f>
        <v>0</v>
      </c>
      <c r="Q26" s="231">
        <f t="shared" si="1"/>
        <v>0.99106250024889242</v>
      </c>
      <c r="R26" s="232">
        <f>ROUND(VLOOKUP(MID($E26,4,3),'Wochentag F(WT)'!$B$7:$J$22,R$9,0),4)</f>
        <v>1.0214000000000001</v>
      </c>
      <c r="S26" s="232">
        <f>ROUND(VLOOKUP(MID($E26,4,3),'Wochentag F(WT)'!$B$7:$J$22,S$9,0),4)</f>
        <v>1.0866</v>
      </c>
      <c r="T26" s="232">
        <f>ROUND(VLOOKUP(MID($E26,4,3),'Wochentag F(WT)'!$B$7:$J$22,T$9,0),4)</f>
        <v>1.0720000000000001</v>
      </c>
      <c r="U26" s="232">
        <f>ROUND(VLOOKUP(MID($E26,4,3),'Wochentag F(WT)'!$B$7:$J$22,U$9,0),4)</f>
        <v>1.0557000000000001</v>
      </c>
      <c r="V26" s="232">
        <f>ROUND(VLOOKUP(MID($E26,4,3),'Wochentag F(WT)'!$B$7:$J$22,V$9,0),4)</f>
        <v>1.0117</v>
      </c>
      <c r="W26" s="232">
        <f>ROUND(VLOOKUP(MID($E26,4,3),'Wochentag F(WT)'!$B$7:$J$22,W$9,0),4)</f>
        <v>0.90010000000000001</v>
      </c>
      <c r="X26" s="233">
        <f t="shared" si="2"/>
        <v>0.85249999999999915</v>
      </c>
      <c r="Y26" s="250"/>
      <c r="Z26" s="171"/>
    </row>
    <row r="27" spans="2:26" s="116" customFormat="1">
      <c r="B27" s="117">
        <v>16</v>
      </c>
      <c r="C27" s="118" t="str">
        <f t="shared" si="0"/>
        <v>THE H-Gas</v>
      </c>
      <c r="D27" s="46" t="s">
        <v>249</v>
      </c>
      <c r="E27" s="137" t="s">
        <v>682</v>
      </c>
      <c r="F27" s="254" t="str">
        <f>VLOOKUP($E27,'[1]BDEW-Standard'!$B$3:$M$94,F$9,0)</f>
        <v>GB3</v>
      </c>
      <c r="H27" s="234">
        <f>ROUND(VLOOKUP($E27,'BDEW-Standard'!$B$3:$M$94,H$9,0),7)</f>
        <v>3.2572741999999999</v>
      </c>
      <c r="I27" s="234">
        <f>ROUND(VLOOKUP($E27,'BDEW-Standard'!$B$3:$M$94,I$9,0),7)</f>
        <v>-37.5</v>
      </c>
      <c r="J27" s="234">
        <f>ROUND(VLOOKUP($E27,'BDEW-Standard'!$B$3:$M$94,J$9,0),7)</f>
        <v>6.3462148000000003</v>
      </c>
      <c r="K27" s="234">
        <f>ROUND(VLOOKUP($E27,'BDEW-Standard'!$B$3:$M$94,K$9,0),7)</f>
        <v>8.6622699999999997E-2</v>
      </c>
      <c r="L27" s="230">
        <f>ROUND(VLOOKUP($E27,'BDEW-Standard'!$B$3:$M$94,L$9,0),1)</f>
        <v>40</v>
      </c>
      <c r="M27" s="234">
        <f>ROUND(VLOOKUP($E27,'BDEW-Standard'!$B$3:$M$94,M$9,0),7)</f>
        <v>0</v>
      </c>
      <c r="N27" s="234">
        <f>ROUND(VLOOKUP($E27,'BDEW-Standard'!$B$3:$M$94,N$9,0),7)</f>
        <v>0</v>
      </c>
      <c r="O27" s="234">
        <f>ROUND(VLOOKUP($E27,'BDEW-Standard'!$B$3:$M$94,O$9,0),7)</f>
        <v>0</v>
      </c>
      <c r="P27" s="234">
        <f>ROUND(VLOOKUP($E27,'BDEW-Standard'!$B$3:$M$94,P$9,0),7)</f>
        <v>0</v>
      </c>
      <c r="Q27" s="235">
        <f t="shared" si="1"/>
        <v>0.9584556323619029</v>
      </c>
      <c r="R27" s="236">
        <f>ROUND(VLOOKUP(MID($E27,4,3),'Wochentag F(WT)'!$B$7:$J$22,R$9,0),4)</f>
        <v>0.98970000000000002</v>
      </c>
      <c r="S27" s="236">
        <f>ROUND(VLOOKUP(MID($E27,4,3),'Wochentag F(WT)'!$B$7:$J$22,S$9,0),4)</f>
        <v>0.9627</v>
      </c>
      <c r="T27" s="236">
        <f>ROUND(VLOOKUP(MID($E27,4,3),'Wochentag F(WT)'!$B$7:$J$22,T$9,0),4)</f>
        <v>1.0507</v>
      </c>
      <c r="U27" s="236">
        <f>ROUND(VLOOKUP(MID($E27,4,3),'Wochentag F(WT)'!$B$7:$J$22,U$9,0),4)</f>
        <v>1.0551999999999999</v>
      </c>
      <c r="V27" s="236">
        <f>ROUND(VLOOKUP(MID($E27,4,3),'Wochentag F(WT)'!$B$7:$J$22,V$9,0),4)</f>
        <v>1.0297000000000001</v>
      </c>
      <c r="W27" s="236">
        <f>ROUND(VLOOKUP(MID($E27,4,3),'Wochentag F(WT)'!$B$7:$J$22,W$9,0),4)</f>
        <v>0.97670000000000001</v>
      </c>
      <c r="X27" s="237">
        <f t="shared" ref="X27" si="3">7-SUM(R27:W27)</f>
        <v>0.9352999999999998</v>
      </c>
      <c r="Y27" s="250"/>
    </row>
    <row r="28" spans="2:26" s="116" customFormat="1">
      <c r="B28" s="117">
        <v>17</v>
      </c>
      <c r="C28" s="118" t="str">
        <f t="shared" si="0"/>
        <v>THE H-Gas</v>
      </c>
      <c r="D28" s="46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>
      <c r="B29" s="117">
        <v>18</v>
      </c>
      <c r="C29" s="118" t="str">
        <f t="shared" si="0"/>
        <v>THE H-Gas</v>
      </c>
      <c r="D29" s="46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>
      <c r="B30" s="117">
        <v>19</v>
      </c>
      <c r="C30" s="118" t="str">
        <f t="shared" si="0"/>
        <v>THE H-Gas</v>
      </c>
      <c r="D30" s="46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>
      <c r="B31" s="117">
        <v>20</v>
      </c>
      <c r="C31" s="118" t="str">
        <f t="shared" si="0"/>
        <v>THE H-Gas</v>
      </c>
      <c r="D31" s="46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>
      <c r="B32" s="117">
        <v>21</v>
      </c>
      <c r="C32" s="118" t="str">
        <f t="shared" si="0"/>
        <v>THE H-Gas</v>
      </c>
      <c r="D32" s="46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>
      <c r="B33" s="117">
        <v>22</v>
      </c>
      <c r="C33" s="118" t="str">
        <f t="shared" si="0"/>
        <v>THE H-Gas</v>
      </c>
      <c r="D33" s="46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>
      <c r="B34" s="117">
        <v>23</v>
      </c>
      <c r="C34" s="118" t="str">
        <f t="shared" si="0"/>
        <v>THE H-Gas</v>
      </c>
      <c r="D34" s="46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>
      <c r="B35" s="117">
        <v>24</v>
      </c>
      <c r="C35" s="118" t="str">
        <f t="shared" si="0"/>
        <v>THE H-Gas</v>
      </c>
      <c r="D35" s="46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>
      <c r="B36" s="117">
        <v>25</v>
      </c>
      <c r="C36" s="118" t="str">
        <f t="shared" si="0"/>
        <v>THE H-Gas</v>
      </c>
      <c r="D36" s="46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>
      <c r="B37" s="117">
        <v>26</v>
      </c>
      <c r="C37" s="118" t="str">
        <f t="shared" si="0"/>
        <v>THE H-Gas</v>
      </c>
      <c r="D37" s="46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>
      <c r="B38" s="117">
        <v>27</v>
      </c>
      <c r="C38" s="118" t="str">
        <f t="shared" si="0"/>
        <v>THE H-Gas</v>
      </c>
      <c r="D38" s="46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>
      <c r="B39" s="117">
        <v>28</v>
      </c>
      <c r="C39" s="118" t="str">
        <f t="shared" si="0"/>
        <v>THE H-Gas</v>
      </c>
      <c r="D39" s="46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>
      <c r="B40" s="117">
        <v>29</v>
      </c>
      <c r="C40" s="118" t="str">
        <f t="shared" si="0"/>
        <v>THE H-Gas</v>
      </c>
      <c r="D40" s="46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>
      <c r="B41" s="117">
        <v>30</v>
      </c>
      <c r="C41" s="118" t="str">
        <f t="shared" si="0"/>
        <v>THE H-Gas</v>
      </c>
      <c r="D41" s="46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'SLP-Verfahren'!$D$35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349</v>
      </c>
      <c r="B1" s="174">
        <v>42173</v>
      </c>
      <c r="D1" s="8" t="s">
        <v>459</v>
      </c>
      <c r="F1" s="175" t="s">
        <v>552</v>
      </c>
      <c r="N1" s="11"/>
    </row>
    <row r="2" spans="1:14" ht="25.5">
      <c r="A2" s="176" t="s">
        <v>273</v>
      </c>
      <c r="B2" s="177" t="s">
        <v>147</v>
      </c>
      <c r="C2" s="178" t="s">
        <v>149</v>
      </c>
      <c r="D2" s="179" t="s">
        <v>150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71</v>
      </c>
      <c r="J2" s="180" t="s">
        <v>151</v>
      </c>
      <c r="K2" s="180" t="s">
        <v>152</v>
      </c>
      <c r="L2" s="180" t="s">
        <v>153</v>
      </c>
      <c r="M2" s="182" t="s">
        <v>245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154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155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156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157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158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159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160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161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162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163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247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164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165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166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167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168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169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170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171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172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173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174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175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176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177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178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179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180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181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182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183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184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185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186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187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188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189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190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191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192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193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194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195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196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197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198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199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200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201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202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203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204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205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206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207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208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209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210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211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212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213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214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215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216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217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218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219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220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221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222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223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224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225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226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227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228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229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230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231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232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233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234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235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236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237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238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239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240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241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242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243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.7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244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>
      <c r="A95" t="s">
        <v>246</v>
      </c>
      <c r="B95" t="s">
        <v>51</v>
      </c>
      <c r="C95" t="s">
        <v>319</v>
      </c>
      <c r="D95" t="s">
        <v>274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246</v>
      </c>
      <c r="B96" t="s">
        <v>56</v>
      </c>
      <c r="C96" t="s">
        <v>324</v>
      </c>
      <c r="D96" t="s">
        <v>274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246</v>
      </c>
      <c r="B97" t="s">
        <v>61</v>
      </c>
      <c r="C97" t="s">
        <v>329</v>
      </c>
      <c r="D97" t="s">
        <v>274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246</v>
      </c>
      <c r="B98" t="s">
        <v>66</v>
      </c>
      <c r="C98" t="s">
        <v>334</v>
      </c>
      <c r="D98" t="s">
        <v>274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246</v>
      </c>
      <c r="B99" t="s">
        <v>19</v>
      </c>
      <c r="C99" t="s">
        <v>287</v>
      </c>
      <c r="D99" t="s">
        <v>274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246</v>
      </c>
      <c r="B100" t="s">
        <v>23</v>
      </c>
      <c r="C100" t="s">
        <v>291</v>
      </c>
      <c r="D100" t="s">
        <v>274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246</v>
      </c>
      <c r="B101" t="s">
        <v>27</v>
      </c>
      <c r="C101" t="s">
        <v>295</v>
      </c>
      <c r="D101" t="s">
        <v>274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246</v>
      </c>
      <c r="B102" t="s">
        <v>31</v>
      </c>
      <c r="C102" t="s">
        <v>299</v>
      </c>
      <c r="D102" t="s">
        <v>274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246</v>
      </c>
      <c r="B103" t="s">
        <v>35</v>
      </c>
      <c r="C103" t="s">
        <v>303</v>
      </c>
      <c r="D103" t="s">
        <v>274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246</v>
      </c>
      <c r="B104" t="s">
        <v>39</v>
      </c>
      <c r="C104" t="s">
        <v>307</v>
      </c>
      <c r="D104" t="s">
        <v>274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246</v>
      </c>
      <c r="B105" t="s">
        <v>43</v>
      </c>
      <c r="C105" t="s">
        <v>311</v>
      </c>
      <c r="D105" t="s">
        <v>274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246</v>
      </c>
      <c r="B106" t="s">
        <v>47</v>
      </c>
      <c r="C106" t="s">
        <v>315</v>
      </c>
      <c r="D106" t="s">
        <v>274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246</v>
      </c>
      <c r="B107" t="s">
        <v>52</v>
      </c>
      <c r="C107" t="s">
        <v>320</v>
      </c>
      <c r="D107" t="s">
        <v>274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246</v>
      </c>
      <c r="B108" t="s">
        <v>57</v>
      </c>
      <c r="C108" t="s">
        <v>325</v>
      </c>
      <c r="D108" t="s">
        <v>274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246</v>
      </c>
      <c r="B109" t="s">
        <v>62</v>
      </c>
      <c r="C109" t="s">
        <v>330</v>
      </c>
      <c r="D109" t="s">
        <v>274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246</v>
      </c>
      <c r="B110" t="s">
        <v>67</v>
      </c>
      <c r="C110" t="s">
        <v>335</v>
      </c>
      <c r="D110" t="s">
        <v>274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246</v>
      </c>
      <c r="B111" t="s">
        <v>7</v>
      </c>
      <c r="C111" t="s">
        <v>275</v>
      </c>
      <c r="D111" t="s">
        <v>274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246</v>
      </c>
      <c r="B112" t="s">
        <v>8</v>
      </c>
      <c r="C112" t="s">
        <v>276</v>
      </c>
      <c r="D112" t="s">
        <v>274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246</v>
      </c>
      <c r="B113" t="s">
        <v>9</v>
      </c>
      <c r="C113" t="s">
        <v>277</v>
      </c>
      <c r="D113" t="s">
        <v>274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246</v>
      </c>
      <c r="B114" t="s">
        <v>10</v>
      </c>
      <c r="C114" t="s">
        <v>278</v>
      </c>
      <c r="D114" t="s">
        <v>274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246</v>
      </c>
      <c r="B115" t="s">
        <v>20</v>
      </c>
      <c r="C115" t="s">
        <v>288</v>
      </c>
      <c r="D115" t="s">
        <v>274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246</v>
      </c>
      <c r="B116" t="s">
        <v>24</v>
      </c>
      <c r="C116" t="s">
        <v>292</v>
      </c>
      <c r="D116" t="s">
        <v>274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246</v>
      </c>
      <c r="B117" t="s">
        <v>28</v>
      </c>
      <c r="C117" t="s">
        <v>296</v>
      </c>
      <c r="D117" t="s">
        <v>274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246</v>
      </c>
      <c r="B118" t="s">
        <v>32</v>
      </c>
      <c r="C118" t="s">
        <v>300</v>
      </c>
      <c r="D118" t="s">
        <v>274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246</v>
      </c>
      <c r="B119" t="s">
        <v>11</v>
      </c>
      <c r="C119" t="s">
        <v>279</v>
      </c>
      <c r="D119" t="s">
        <v>274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246</v>
      </c>
      <c r="B120" t="s">
        <v>13</v>
      </c>
      <c r="C120" t="s">
        <v>281</v>
      </c>
      <c r="D120" t="s">
        <v>274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246</v>
      </c>
      <c r="B121" t="s">
        <v>15</v>
      </c>
      <c r="C121" t="s">
        <v>283</v>
      </c>
      <c r="D121" t="s">
        <v>274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246</v>
      </c>
      <c r="B122" t="s">
        <v>17</v>
      </c>
      <c r="C122" t="s">
        <v>285</v>
      </c>
      <c r="D122" t="s">
        <v>274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246</v>
      </c>
      <c r="B123" t="s">
        <v>53</v>
      </c>
      <c r="C123" t="s">
        <v>321</v>
      </c>
      <c r="D123" t="s">
        <v>274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246</v>
      </c>
      <c r="B124" t="s">
        <v>58</v>
      </c>
      <c r="C124" t="s">
        <v>326</v>
      </c>
      <c r="D124" t="s">
        <v>274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246</v>
      </c>
      <c r="B125" t="s">
        <v>63</v>
      </c>
      <c r="C125" t="s">
        <v>331</v>
      </c>
      <c r="D125" t="s">
        <v>274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246</v>
      </c>
      <c r="B126" t="s">
        <v>68</v>
      </c>
      <c r="C126" t="s">
        <v>336</v>
      </c>
      <c r="D126" t="s">
        <v>274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246</v>
      </c>
      <c r="B127" t="s">
        <v>21</v>
      </c>
      <c r="C127" t="s">
        <v>289</v>
      </c>
      <c r="D127" t="s">
        <v>274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246</v>
      </c>
      <c r="B128" t="s">
        <v>25</v>
      </c>
      <c r="C128" t="s">
        <v>293</v>
      </c>
      <c r="D128" t="s">
        <v>274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246</v>
      </c>
      <c r="B129" t="s">
        <v>29</v>
      </c>
      <c r="C129" t="s">
        <v>297</v>
      </c>
      <c r="D129" t="s">
        <v>274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246</v>
      </c>
      <c r="B130" t="s">
        <v>33</v>
      </c>
      <c r="C130" t="s">
        <v>301</v>
      </c>
      <c r="D130" t="s">
        <v>274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246</v>
      </c>
      <c r="B131" t="s">
        <v>22</v>
      </c>
      <c r="C131" t="s">
        <v>290</v>
      </c>
      <c r="D131" t="s">
        <v>274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246</v>
      </c>
      <c r="B132" t="s">
        <v>26</v>
      </c>
      <c r="C132" t="s">
        <v>294</v>
      </c>
      <c r="D132" t="s">
        <v>274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246</v>
      </c>
      <c r="B133" t="s">
        <v>30</v>
      </c>
      <c r="C133" t="s">
        <v>298</v>
      </c>
      <c r="D133" t="s">
        <v>274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246</v>
      </c>
      <c r="B134" t="s">
        <v>34</v>
      </c>
      <c r="C134" t="s">
        <v>302</v>
      </c>
      <c r="D134" t="s">
        <v>274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246</v>
      </c>
      <c r="B135" t="s">
        <v>36</v>
      </c>
      <c r="C135" t="s">
        <v>304</v>
      </c>
      <c r="D135" t="s">
        <v>274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246</v>
      </c>
      <c r="B136" t="s">
        <v>40</v>
      </c>
      <c r="C136" t="s">
        <v>308</v>
      </c>
      <c r="D136" t="s">
        <v>274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246</v>
      </c>
      <c r="B137" t="s">
        <v>44</v>
      </c>
      <c r="C137" t="s">
        <v>312</v>
      </c>
      <c r="D137" t="s">
        <v>274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246</v>
      </c>
      <c r="B138" t="s">
        <v>48</v>
      </c>
      <c r="C138" t="s">
        <v>316</v>
      </c>
      <c r="D138" t="s">
        <v>274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246</v>
      </c>
      <c r="B139" t="s">
        <v>37</v>
      </c>
      <c r="C139" t="s">
        <v>305</v>
      </c>
      <c r="D139" t="s">
        <v>274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246</v>
      </c>
      <c r="B140" t="s">
        <v>41</v>
      </c>
      <c r="C140" t="s">
        <v>309</v>
      </c>
      <c r="D140" t="s">
        <v>274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246</v>
      </c>
      <c r="B141" t="s">
        <v>45</v>
      </c>
      <c r="C141" t="s">
        <v>313</v>
      </c>
      <c r="D141" t="s">
        <v>274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246</v>
      </c>
      <c r="B142" t="s">
        <v>49</v>
      </c>
      <c r="C142" t="s">
        <v>317</v>
      </c>
      <c r="D142" t="s">
        <v>274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246</v>
      </c>
      <c r="B143" t="s">
        <v>12</v>
      </c>
      <c r="C143" t="s">
        <v>280</v>
      </c>
      <c r="D143" t="s">
        <v>274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246</v>
      </c>
      <c r="B144" t="s">
        <v>14</v>
      </c>
      <c r="C144" t="s">
        <v>282</v>
      </c>
      <c r="D144" t="s">
        <v>274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246</v>
      </c>
      <c r="B145" t="s">
        <v>16</v>
      </c>
      <c r="C145" t="s">
        <v>284</v>
      </c>
      <c r="D145" t="s">
        <v>274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246</v>
      </c>
      <c r="B146" t="s">
        <v>18</v>
      </c>
      <c r="C146" t="s">
        <v>286</v>
      </c>
      <c r="D146" t="s">
        <v>274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246</v>
      </c>
      <c r="B147" t="s">
        <v>38</v>
      </c>
      <c r="C147" t="s">
        <v>306</v>
      </c>
      <c r="D147" t="s">
        <v>274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246</v>
      </c>
      <c r="B148" t="s">
        <v>42</v>
      </c>
      <c r="C148" t="s">
        <v>310</v>
      </c>
      <c r="D148" t="s">
        <v>274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246</v>
      </c>
      <c r="B149" t="s">
        <v>46</v>
      </c>
      <c r="C149" t="s">
        <v>314</v>
      </c>
      <c r="D149" t="s">
        <v>274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246</v>
      </c>
      <c r="B150" t="s">
        <v>50</v>
      </c>
      <c r="C150" t="s">
        <v>318</v>
      </c>
      <c r="D150" t="s">
        <v>274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246</v>
      </c>
      <c r="B151" t="s">
        <v>54</v>
      </c>
      <c r="C151" t="s">
        <v>322</v>
      </c>
      <c r="D151" t="s">
        <v>274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246</v>
      </c>
      <c r="B152" t="s">
        <v>59</v>
      </c>
      <c r="C152" t="s">
        <v>327</v>
      </c>
      <c r="D152" t="s">
        <v>274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246</v>
      </c>
      <c r="B153" t="s">
        <v>64</v>
      </c>
      <c r="C153" t="s">
        <v>332</v>
      </c>
      <c r="D153" t="s">
        <v>274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246</v>
      </c>
      <c r="B154" t="s">
        <v>69</v>
      </c>
      <c r="C154" t="s">
        <v>337</v>
      </c>
      <c r="D154" t="s">
        <v>274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246</v>
      </c>
      <c r="B155" t="s">
        <v>55</v>
      </c>
      <c r="C155" t="s">
        <v>323</v>
      </c>
      <c r="D155" t="s">
        <v>274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246</v>
      </c>
      <c r="B156" t="s">
        <v>60</v>
      </c>
      <c r="C156" t="s">
        <v>328</v>
      </c>
      <c r="D156" t="s">
        <v>274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246</v>
      </c>
      <c r="B157" t="s">
        <v>65</v>
      </c>
      <c r="C157" t="s">
        <v>333</v>
      </c>
      <c r="D157" t="s">
        <v>274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246</v>
      </c>
      <c r="B158" t="s">
        <v>70</v>
      </c>
      <c r="C158" t="s">
        <v>338</v>
      </c>
      <c r="D158" t="s">
        <v>274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N10" sqref="N10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451</v>
      </c>
    </row>
    <row r="3" spans="2:30" ht="15" customHeight="1">
      <c r="B3" s="66"/>
    </row>
    <row r="4" spans="2:30" ht="15" customHeight="1">
      <c r="B4" s="48" t="s">
        <v>450</v>
      </c>
      <c r="C4" s="44" t="str">
        <f>Netzbetreiber!$D$9</f>
        <v>Bayerische Rhöngas GmbH</v>
      </c>
      <c r="D4" s="58"/>
      <c r="G4" s="58"/>
      <c r="I4" s="58"/>
      <c r="J4" s="59"/>
      <c r="M4" s="67" t="s">
        <v>546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449</v>
      </c>
      <c r="C5" s="45" t="str">
        <f>Netzbetreiber!D28</f>
        <v>THE H-Gas</v>
      </c>
      <c r="D5" s="25"/>
      <c r="E5" s="58"/>
      <c r="F5" s="58"/>
      <c r="G5" s="58"/>
      <c r="I5" s="58"/>
      <c r="J5" s="58"/>
      <c r="K5" s="58"/>
      <c r="L5" s="58"/>
      <c r="M5" s="68" t="s">
        <v>515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447</v>
      </c>
      <c r="C6" s="44" t="str">
        <f>Netzbetreiber!$D$11</f>
        <v>9870043600005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134</v>
      </c>
      <c r="C7" s="43">
        <f>Netzbetreiber!$D$6</f>
        <v>43678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89" t="s">
        <v>463</v>
      </c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472</v>
      </c>
      <c r="N9" s="70" t="s">
        <v>374</v>
      </c>
      <c r="O9" s="71" t="s">
        <v>375</v>
      </c>
      <c r="P9" s="71" t="s">
        <v>376</v>
      </c>
      <c r="Q9" s="71" t="s">
        <v>377</v>
      </c>
      <c r="R9" s="71" t="s">
        <v>378</v>
      </c>
      <c r="S9" s="71" t="s">
        <v>379</v>
      </c>
      <c r="T9" s="71" t="s">
        <v>380</v>
      </c>
      <c r="U9" s="71" t="s">
        <v>381</v>
      </c>
      <c r="V9" s="71" t="s">
        <v>382</v>
      </c>
      <c r="W9" s="71" t="s">
        <v>383</v>
      </c>
      <c r="X9" s="71" t="s">
        <v>384</v>
      </c>
      <c r="Y9" s="71" t="s">
        <v>385</v>
      </c>
      <c r="Z9" s="71" t="s">
        <v>386</v>
      </c>
      <c r="AA9" s="71" t="s">
        <v>387</v>
      </c>
      <c r="AB9" s="71" t="s">
        <v>388</v>
      </c>
      <c r="AC9" s="72" t="s">
        <v>389</v>
      </c>
      <c r="AD9" s="72" t="s">
        <v>431</v>
      </c>
    </row>
    <row r="10" spans="2:30" ht="72" customHeight="1" thickBot="1">
      <c r="B10" s="294" t="s">
        <v>590</v>
      </c>
      <c r="C10" s="295"/>
      <c r="D10" s="73">
        <v>2</v>
      </c>
      <c r="E10" s="74" t="str">
        <f>IF(ISERROR(HLOOKUP(E$11,$M$9:$AD$35,$D10,0)),"",HLOOKUP(E$11,$M$9:$AD$35,$D10,0))</f>
        <v/>
      </c>
      <c r="F10" s="292" t="s">
        <v>400</v>
      </c>
      <c r="G10" s="292"/>
      <c r="H10" s="292"/>
      <c r="I10" s="292"/>
      <c r="J10" s="292"/>
      <c r="K10" s="292"/>
      <c r="L10" s="293"/>
      <c r="M10" s="75" t="s">
        <v>473</v>
      </c>
      <c r="N10" s="75" t="s">
        <v>474</v>
      </c>
      <c r="O10" s="76" t="s">
        <v>475</v>
      </c>
      <c r="P10" s="77" t="s">
        <v>476</v>
      </c>
      <c r="Q10" s="77" t="s">
        <v>477</v>
      </c>
      <c r="R10" s="77" t="s">
        <v>478</v>
      </c>
      <c r="S10" s="77" t="s">
        <v>479</v>
      </c>
      <c r="T10" s="77" t="s">
        <v>480</v>
      </c>
      <c r="U10" s="77" t="s">
        <v>481</v>
      </c>
      <c r="V10" s="77" t="s">
        <v>482</v>
      </c>
      <c r="W10" s="77" t="s">
        <v>483</v>
      </c>
      <c r="X10" s="77" t="s">
        <v>484</v>
      </c>
      <c r="Y10" s="77" t="s">
        <v>485</v>
      </c>
      <c r="Z10" s="77" t="s">
        <v>486</v>
      </c>
      <c r="AA10" s="77" t="s">
        <v>487</v>
      </c>
      <c r="AB10" s="77" t="s">
        <v>488</v>
      </c>
      <c r="AC10" s="78" t="s">
        <v>489</v>
      </c>
      <c r="AD10" s="79" t="s">
        <v>432</v>
      </c>
    </row>
    <row r="11" spans="2:30" ht="15.75" thickBot="1">
      <c r="B11" s="80" t="s">
        <v>423</v>
      </c>
      <c r="C11" s="81"/>
      <c r="D11" s="82">
        <v>3</v>
      </c>
      <c r="E11" s="83"/>
      <c r="F11" s="84" t="s">
        <v>391</v>
      </c>
      <c r="G11" s="85" t="s">
        <v>392</v>
      </c>
      <c r="H11" s="85" t="s">
        <v>393</v>
      </c>
      <c r="I11" s="85" t="s">
        <v>394</v>
      </c>
      <c r="J11" s="85" t="s">
        <v>395</v>
      </c>
      <c r="K11" s="85" t="s">
        <v>396</v>
      </c>
      <c r="L11" s="86" t="s">
        <v>397</v>
      </c>
      <c r="M11" s="54">
        <v>1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1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7" t="s">
        <v>401</v>
      </c>
      <c r="C12" s="88"/>
      <c r="D12" s="89">
        <v>4</v>
      </c>
      <c r="E12" s="260">
        <f>MIN(SUMPRODUCT($M$11:$AD$11,M12:AD12),1)</f>
        <v>1</v>
      </c>
      <c r="F12" s="257" t="s">
        <v>397</v>
      </c>
      <c r="G12" s="60" t="s">
        <v>397</v>
      </c>
      <c r="H12" s="60" t="s">
        <v>397</v>
      </c>
      <c r="I12" s="60" t="s">
        <v>397</v>
      </c>
      <c r="J12" s="60" t="s">
        <v>397</v>
      </c>
      <c r="K12" s="60" t="s">
        <v>397</v>
      </c>
      <c r="L12" s="61" t="s">
        <v>397</v>
      </c>
      <c r="M12" s="90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50">
        <v>1</v>
      </c>
    </row>
    <row r="13" spans="2:30" ht="15">
      <c r="B13" s="93" t="s">
        <v>402</v>
      </c>
      <c r="C13" s="94"/>
      <c r="D13" s="89">
        <v>5</v>
      </c>
      <c r="E13" s="261">
        <f t="shared" ref="E13:E35" si="0">MIN(SUMPRODUCT($M$11:$AD$11,M13:AD13),1)</f>
        <v>1</v>
      </c>
      <c r="F13" s="258" t="s">
        <v>397</v>
      </c>
      <c r="G13" s="62" t="s">
        <v>397</v>
      </c>
      <c r="H13" s="62" t="s">
        <v>397</v>
      </c>
      <c r="I13" s="62" t="s">
        <v>397</v>
      </c>
      <c r="J13" s="62" t="s">
        <v>397</v>
      </c>
      <c r="K13" s="62" t="s">
        <v>397</v>
      </c>
      <c r="L13" s="63" t="s">
        <v>397</v>
      </c>
      <c r="M13" s="95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51"/>
    </row>
    <row r="14" spans="2:30" ht="15">
      <c r="B14" s="93" t="s">
        <v>403</v>
      </c>
      <c r="C14" s="94"/>
      <c r="D14" s="89">
        <v>6</v>
      </c>
      <c r="E14" s="261">
        <f t="shared" si="0"/>
        <v>0</v>
      </c>
      <c r="F14" s="258" t="s">
        <v>397</v>
      </c>
      <c r="G14" s="62" t="s">
        <v>404</v>
      </c>
      <c r="H14" s="62" t="s">
        <v>404</v>
      </c>
      <c r="I14" s="62" t="s">
        <v>404</v>
      </c>
      <c r="J14" s="62" t="s">
        <v>404</v>
      </c>
      <c r="K14" s="62" t="s">
        <v>404</v>
      </c>
      <c r="L14" s="63" t="s">
        <v>404</v>
      </c>
      <c r="M14" s="95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51"/>
    </row>
    <row r="15" spans="2:30" ht="15">
      <c r="B15" s="93" t="s">
        <v>405</v>
      </c>
      <c r="C15" s="94"/>
      <c r="D15" s="89">
        <v>7</v>
      </c>
      <c r="E15" s="261">
        <f t="shared" si="0"/>
        <v>0</v>
      </c>
      <c r="F15" s="258" t="s">
        <v>404</v>
      </c>
      <c r="G15" s="62" t="s">
        <v>396</v>
      </c>
      <c r="H15" s="62" t="s">
        <v>404</v>
      </c>
      <c r="I15" s="62" t="s">
        <v>404</v>
      </c>
      <c r="J15" s="62" t="s">
        <v>404</v>
      </c>
      <c r="K15" s="62" t="s">
        <v>404</v>
      </c>
      <c r="L15" s="63" t="s">
        <v>404</v>
      </c>
      <c r="M15" s="95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51"/>
    </row>
    <row r="16" spans="2:30" ht="15">
      <c r="B16" s="98" t="s">
        <v>417</v>
      </c>
      <c r="C16" s="94"/>
      <c r="D16" s="89">
        <v>8</v>
      </c>
      <c r="E16" s="261">
        <f t="shared" si="0"/>
        <v>1</v>
      </c>
      <c r="F16" s="258" t="s">
        <v>404</v>
      </c>
      <c r="G16" s="62" t="s">
        <v>404</v>
      </c>
      <c r="H16" s="62" t="s">
        <v>404</v>
      </c>
      <c r="I16" s="62" t="s">
        <v>404</v>
      </c>
      <c r="J16" s="62" t="s">
        <v>397</v>
      </c>
      <c r="K16" s="62" t="s">
        <v>404</v>
      </c>
      <c r="L16" s="63" t="s">
        <v>404</v>
      </c>
      <c r="M16" s="95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51">
        <v>1</v>
      </c>
    </row>
    <row r="17" spans="2:30" ht="15">
      <c r="B17" s="98" t="s">
        <v>418</v>
      </c>
      <c r="C17" s="94"/>
      <c r="D17" s="89">
        <v>9</v>
      </c>
      <c r="E17" s="261">
        <f t="shared" si="0"/>
        <v>1</v>
      </c>
      <c r="F17" s="258" t="s">
        <v>404</v>
      </c>
      <c r="G17" s="62" t="s">
        <v>404</v>
      </c>
      <c r="H17" s="62" t="s">
        <v>404</v>
      </c>
      <c r="I17" s="62" t="s">
        <v>404</v>
      </c>
      <c r="J17" s="62" t="s">
        <v>404</v>
      </c>
      <c r="K17" s="62" t="s">
        <v>404</v>
      </c>
      <c r="L17" s="63" t="s">
        <v>397</v>
      </c>
      <c r="M17" s="95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51">
        <v>1</v>
      </c>
    </row>
    <row r="18" spans="2:30" ht="15">
      <c r="B18" s="98" t="s">
        <v>419</v>
      </c>
      <c r="C18" s="94"/>
      <c r="D18" s="89">
        <v>10</v>
      </c>
      <c r="E18" s="261">
        <f t="shared" si="0"/>
        <v>1</v>
      </c>
      <c r="F18" s="258" t="s">
        <v>397</v>
      </c>
      <c r="G18" s="62" t="s">
        <v>404</v>
      </c>
      <c r="H18" s="62" t="s">
        <v>404</v>
      </c>
      <c r="I18" s="62" t="s">
        <v>404</v>
      </c>
      <c r="J18" s="62" t="s">
        <v>404</v>
      </c>
      <c r="K18" s="62" t="s">
        <v>404</v>
      </c>
      <c r="L18" s="63" t="s">
        <v>404</v>
      </c>
      <c r="M18" s="95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51">
        <v>1</v>
      </c>
    </row>
    <row r="19" spans="2:30" ht="15">
      <c r="B19" s="93" t="s">
        <v>659</v>
      </c>
      <c r="C19" s="94"/>
      <c r="D19" s="89"/>
      <c r="E19" s="261">
        <v>1</v>
      </c>
      <c r="F19" s="258" t="s">
        <v>397</v>
      </c>
      <c r="G19" s="62" t="s">
        <v>397</v>
      </c>
      <c r="H19" s="62" t="s">
        <v>397</v>
      </c>
      <c r="I19" s="62" t="s">
        <v>397</v>
      </c>
      <c r="J19" s="62" t="s">
        <v>397</v>
      </c>
      <c r="K19" s="62" t="s">
        <v>397</v>
      </c>
      <c r="L19" s="63" t="s">
        <v>397</v>
      </c>
      <c r="M19" s="95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51"/>
    </row>
    <row r="20" spans="2:30" ht="15">
      <c r="B20" s="98" t="s">
        <v>406</v>
      </c>
      <c r="C20" s="94"/>
      <c r="D20" s="89">
        <v>11</v>
      </c>
      <c r="E20" s="261">
        <f t="shared" si="0"/>
        <v>1</v>
      </c>
      <c r="F20" s="258" t="s">
        <v>397</v>
      </c>
      <c r="G20" s="62" t="s">
        <v>397</v>
      </c>
      <c r="H20" s="62" t="s">
        <v>397</v>
      </c>
      <c r="I20" s="62" t="s">
        <v>397</v>
      </c>
      <c r="J20" s="62" t="s">
        <v>397</v>
      </c>
      <c r="K20" s="62" t="s">
        <v>397</v>
      </c>
      <c r="L20" s="63" t="s">
        <v>397</v>
      </c>
      <c r="M20" s="95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51">
        <v>1</v>
      </c>
    </row>
    <row r="21" spans="2:30" ht="15">
      <c r="B21" s="98" t="s">
        <v>657</v>
      </c>
      <c r="C21" s="94"/>
      <c r="D21" s="89">
        <v>12</v>
      </c>
      <c r="E21" s="261">
        <f t="shared" si="0"/>
        <v>1</v>
      </c>
      <c r="F21" s="258" t="s">
        <v>404</v>
      </c>
      <c r="G21" s="62" t="s">
        <v>404</v>
      </c>
      <c r="H21" s="62" t="s">
        <v>404</v>
      </c>
      <c r="I21" s="62" t="s">
        <v>397</v>
      </c>
      <c r="J21" s="62" t="s">
        <v>404</v>
      </c>
      <c r="K21" s="62" t="s">
        <v>404</v>
      </c>
      <c r="L21" s="63" t="s">
        <v>404</v>
      </c>
      <c r="M21" s="95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51">
        <v>1</v>
      </c>
    </row>
    <row r="22" spans="2:30" ht="15">
      <c r="B22" s="98" t="s">
        <v>420</v>
      </c>
      <c r="C22" s="94"/>
      <c r="D22" s="89">
        <v>13</v>
      </c>
      <c r="E22" s="261">
        <f t="shared" si="0"/>
        <v>1</v>
      </c>
      <c r="F22" s="258" t="s">
        <v>404</v>
      </c>
      <c r="G22" s="62" t="s">
        <v>404</v>
      </c>
      <c r="H22" s="62" t="s">
        <v>404</v>
      </c>
      <c r="I22" s="62" t="s">
        <v>404</v>
      </c>
      <c r="J22" s="62" t="s">
        <v>404</v>
      </c>
      <c r="K22" s="62" t="s">
        <v>404</v>
      </c>
      <c r="L22" s="63" t="s">
        <v>397</v>
      </c>
      <c r="M22" s="95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51">
        <v>1</v>
      </c>
    </row>
    <row r="23" spans="2:30" ht="15">
      <c r="B23" s="98" t="s">
        <v>421</v>
      </c>
      <c r="C23" s="94"/>
      <c r="D23" s="89">
        <v>14</v>
      </c>
      <c r="E23" s="261">
        <f t="shared" si="0"/>
        <v>1</v>
      </c>
      <c r="F23" s="258" t="s">
        <v>397</v>
      </c>
      <c r="G23" s="62" t="s">
        <v>404</v>
      </c>
      <c r="H23" s="62" t="s">
        <v>404</v>
      </c>
      <c r="I23" s="62" t="s">
        <v>404</v>
      </c>
      <c r="J23" s="62" t="s">
        <v>404</v>
      </c>
      <c r="K23" s="62" t="s">
        <v>404</v>
      </c>
      <c r="L23" s="63" t="s">
        <v>404</v>
      </c>
      <c r="M23" s="95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51">
        <v>1</v>
      </c>
    </row>
    <row r="24" spans="2:30" ht="15">
      <c r="B24" s="93" t="s">
        <v>422</v>
      </c>
      <c r="C24" s="94"/>
      <c r="D24" s="89">
        <v>15</v>
      </c>
      <c r="E24" s="261">
        <f t="shared" si="0"/>
        <v>1</v>
      </c>
      <c r="F24" s="258" t="s">
        <v>404</v>
      </c>
      <c r="G24" s="62" t="s">
        <v>404</v>
      </c>
      <c r="H24" s="62" t="s">
        <v>404</v>
      </c>
      <c r="I24" s="62" t="s">
        <v>397</v>
      </c>
      <c r="J24" s="62" t="s">
        <v>404</v>
      </c>
      <c r="K24" s="62" t="s">
        <v>404</v>
      </c>
      <c r="L24" s="63" t="s">
        <v>404</v>
      </c>
      <c r="M24" s="95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51"/>
    </row>
    <row r="25" spans="2:30" ht="15">
      <c r="B25" s="93" t="s">
        <v>407</v>
      </c>
      <c r="C25" s="94"/>
      <c r="D25" s="89">
        <v>16</v>
      </c>
      <c r="E25" s="261">
        <f t="shared" si="0"/>
        <v>0</v>
      </c>
      <c r="F25" s="258" t="s">
        <v>397</v>
      </c>
      <c r="G25" s="62" t="s">
        <v>397</v>
      </c>
      <c r="H25" s="62" t="s">
        <v>397</v>
      </c>
      <c r="I25" s="62" t="s">
        <v>397</v>
      </c>
      <c r="J25" s="62" t="s">
        <v>397</v>
      </c>
      <c r="K25" s="62" t="s">
        <v>397</v>
      </c>
      <c r="L25" s="63" t="s">
        <v>397</v>
      </c>
      <c r="M25" s="95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51"/>
    </row>
    <row r="26" spans="2:30" ht="15">
      <c r="B26" s="93" t="s">
        <v>408</v>
      </c>
      <c r="C26" s="94"/>
      <c r="D26" s="89">
        <v>17</v>
      </c>
      <c r="E26" s="261">
        <f t="shared" si="0"/>
        <v>1</v>
      </c>
      <c r="F26" s="258" t="s">
        <v>397</v>
      </c>
      <c r="G26" s="62" t="s">
        <v>397</v>
      </c>
      <c r="H26" s="62" t="s">
        <v>397</v>
      </c>
      <c r="I26" s="62" t="s">
        <v>397</v>
      </c>
      <c r="J26" s="62" t="s">
        <v>397</v>
      </c>
      <c r="K26" s="62" t="s">
        <v>397</v>
      </c>
      <c r="L26" s="63" t="s">
        <v>397</v>
      </c>
      <c r="M26" s="95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51"/>
    </row>
    <row r="27" spans="2:30" ht="15">
      <c r="B27" s="93" t="s">
        <v>658</v>
      </c>
      <c r="C27" s="94"/>
      <c r="D27" s="89"/>
      <c r="E27" s="261">
        <v>1</v>
      </c>
      <c r="F27" s="258" t="s">
        <v>397</v>
      </c>
      <c r="G27" s="62" t="s">
        <v>397</v>
      </c>
      <c r="H27" s="62" t="s">
        <v>397</v>
      </c>
      <c r="I27" s="62" t="s">
        <v>397</v>
      </c>
      <c r="J27" s="62" t="s">
        <v>397</v>
      </c>
      <c r="K27" s="62" t="s">
        <v>397</v>
      </c>
      <c r="L27" s="63" t="s">
        <v>397</v>
      </c>
      <c r="M27" s="95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51"/>
    </row>
    <row r="28" spans="2:30" ht="15">
      <c r="B28" s="98" t="s">
        <v>409</v>
      </c>
      <c r="C28" s="94"/>
      <c r="D28" s="89">
        <v>18</v>
      </c>
      <c r="E28" s="261">
        <f t="shared" si="0"/>
        <v>1</v>
      </c>
      <c r="F28" s="258" t="s">
        <v>397</v>
      </c>
      <c r="G28" s="62" t="s">
        <v>397</v>
      </c>
      <c r="H28" s="62" t="s">
        <v>397</v>
      </c>
      <c r="I28" s="62" t="s">
        <v>397</v>
      </c>
      <c r="J28" s="62" t="s">
        <v>397</v>
      </c>
      <c r="K28" s="62" t="s">
        <v>397</v>
      </c>
      <c r="L28" s="63" t="s">
        <v>397</v>
      </c>
      <c r="M28" s="95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51">
        <v>1</v>
      </c>
    </row>
    <row r="29" spans="2:30" ht="15">
      <c r="B29" s="93" t="s">
        <v>410</v>
      </c>
      <c r="C29" s="94"/>
      <c r="D29" s="89">
        <v>19</v>
      </c>
      <c r="E29" s="261">
        <v>1</v>
      </c>
      <c r="F29" s="258" t="s">
        <v>397</v>
      </c>
      <c r="G29" s="258" t="s">
        <v>397</v>
      </c>
      <c r="H29" s="258" t="s">
        <v>397</v>
      </c>
      <c r="I29" s="258" t="s">
        <v>397</v>
      </c>
      <c r="J29" s="258" t="s">
        <v>397</v>
      </c>
      <c r="K29" s="258" t="s">
        <v>397</v>
      </c>
      <c r="L29" s="258" t="s">
        <v>397</v>
      </c>
      <c r="M29" s="95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51"/>
    </row>
    <row r="30" spans="2:30" ht="15">
      <c r="B30" s="93" t="s">
        <v>411</v>
      </c>
      <c r="C30" s="94"/>
      <c r="D30" s="89">
        <v>20</v>
      </c>
      <c r="E30" s="261">
        <f t="shared" si="0"/>
        <v>1</v>
      </c>
      <c r="F30" s="258" t="s">
        <v>397</v>
      </c>
      <c r="G30" s="62" t="s">
        <v>397</v>
      </c>
      <c r="H30" s="62" t="s">
        <v>397</v>
      </c>
      <c r="I30" s="62" t="s">
        <v>397</v>
      </c>
      <c r="J30" s="62" t="s">
        <v>397</v>
      </c>
      <c r="K30" s="62" t="s">
        <v>397</v>
      </c>
      <c r="L30" s="63" t="s">
        <v>397</v>
      </c>
      <c r="M30" s="95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51"/>
    </row>
    <row r="31" spans="2:30" ht="15">
      <c r="B31" s="93" t="s">
        <v>412</v>
      </c>
      <c r="C31" s="94"/>
      <c r="D31" s="89">
        <v>21</v>
      </c>
      <c r="E31" s="261">
        <f t="shared" si="0"/>
        <v>0</v>
      </c>
      <c r="F31" s="258" t="s">
        <v>404</v>
      </c>
      <c r="G31" s="62" t="s">
        <v>404</v>
      </c>
      <c r="H31" s="62" t="s">
        <v>397</v>
      </c>
      <c r="I31" s="62" t="s">
        <v>404</v>
      </c>
      <c r="J31" s="62" t="s">
        <v>404</v>
      </c>
      <c r="K31" s="62" t="s">
        <v>404</v>
      </c>
      <c r="L31" s="63" t="s">
        <v>404</v>
      </c>
      <c r="M31" s="95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51"/>
    </row>
    <row r="32" spans="2:30" ht="15">
      <c r="B32" s="93" t="s">
        <v>413</v>
      </c>
      <c r="C32" s="94"/>
      <c r="D32" s="89">
        <v>22</v>
      </c>
      <c r="E32" s="261">
        <f t="shared" si="0"/>
        <v>0</v>
      </c>
      <c r="F32" s="258" t="s">
        <v>396</v>
      </c>
      <c r="G32" s="62" t="s">
        <v>396</v>
      </c>
      <c r="H32" s="62" t="s">
        <v>396</v>
      </c>
      <c r="I32" s="62" t="s">
        <v>396</v>
      </c>
      <c r="J32" s="62" t="s">
        <v>396</v>
      </c>
      <c r="K32" s="62" t="s">
        <v>396</v>
      </c>
      <c r="L32" s="63" t="s">
        <v>397</v>
      </c>
      <c r="M32" s="95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51"/>
    </row>
    <row r="33" spans="2:30" ht="15">
      <c r="B33" s="98" t="s">
        <v>414</v>
      </c>
      <c r="C33" s="94"/>
      <c r="D33" s="89">
        <v>23</v>
      </c>
      <c r="E33" s="261">
        <f t="shared" si="0"/>
        <v>1</v>
      </c>
      <c r="F33" s="258" t="s">
        <v>397</v>
      </c>
      <c r="G33" s="62" t="s">
        <v>397</v>
      </c>
      <c r="H33" s="62" t="s">
        <v>397</v>
      </c>
      <c r="I33" s="62" t="s">
        <v>397</v>
      </c>
      <c r="J33" s="62" t="s">
        <v>397</v>
      </c>
      <c r="K33" s="62" t="s">
        <v>397</v>
      </c>
      <c r="L33" s="63" t="s">
        <v>397</v>
      </c>
      <c r="M33" s="95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51">
        <v>1</v>
      </c>
    </row>
    <row r="34" spans="2:30" ht="15">
      <c r="B34" s="98" t="s">
        <v>415</v>
      </c>
      <c r="C34" s="94"/>
      <c r="D34" s="89">
        <v>24</v>
      </c>
      <c r="E34" s="261">
        <f t="shared" si="0"/>
        <v>1</v>
      </c>
      <c r="F34" s="258" t="s">
        <v>397</v>
      </c>
      <c r="G34" s="62" t="s">
        <v>397</v>
      </c>
      <c r="H34" s="62" t="s">
        <v>397</v>
      </c>
      <c r="I34" s="62" t="s">
        <v>397</v>
      </c>
      <c r="J34" s="62" t="s">
        <v>397</v>
      </c>
      <c r="K34" s="62" t="s">
        <v>397</v>
      </c>
      <c r="L34" s="63" t="s">
        <v>397</v>
      </c>
      <c r="M34" s="95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51">
        <v>1</v>
      </c>
    </row>
    <row r="35" spans="2:30" ht="15.75" thickBot="1">
      <c r="B35" s="99" t="s">
        <v>416</v>
      </c>
      <c r="C35" s="100"/>
      <c r="D35" s="101">
        <v>25</v>
      </c>
      <c r="E35" s="262">
        <f t="shared" si="0"/>
        <v>0</v>
      </c>
      <c r="F35" s="259" t="s">
        <v>396</v>
      </c>
      <c r="G35" s="64" t="s">
        <v>396</v>
      </c>
      <c r="H35" s="64" t="s">
        <v>396</v>
      </c>
      <c r="I35" s="64" t="s">
        <v>396</v>
      </c>
      <c r="J35" s="64" t="s">
        <v>396</v>
      </c>
      <c r="K35" s="64" t="s">
        <v>396</v>
      </c>
      <c r="L35" s="65" t="s">
        <v>397</v>
      </c>
      <c r="M35" s="102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RowHeight="1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>
      <c r="A1" s="8" t="s">
        <v>460</v>
      </c>
      <c r="B1"/>
      <c r="D1" s="175" t="s">
        <v>552</v>
      </c>
      <c r="O1" s="192"/>
    </row>
    <row r="2" spans="1:16">
      <c r="A2" s="192"/>
      <c r="B2" s="192" t="s">
        <v>461</v>
      </c>
    </row>
    <row r="3" spans="1:16" ht="20.100000000000001" customHeight="1">
      <c r="A3" s="296" t="s">
        <v>250</v>
      </c>
      <c r="B3" s="193" t="s">
        <v>87</v>
      </c>
      <c r="C3" s="194"/>
      <c r="D3" s="298" t="s">
        <v>462</v>
      </c>
      <c r="E3" s="299"/>
      <c r="F3" s="299"/>
      <c r="G3" s="299"/>
      <c r="H3" s="299"/>
      <c r="I3" s="299"/>
      <c r="J3" s="300"/>
      <c r="K3" s="195"/>
      <c r="L3" s="195"/>
      <c r="M3" s="195"/>
      <c r="N3" s="195"/>
      <c r="O3" s="152"/>
      <c r="P3" s="195"/>
    </row>
    <row r="4" spans="1:16" ht="20.100000000000001" customHeight="1">
      <c r="A4" s="297"/>
      <c r="B4" s="196"/>
      <c r="C4" s="197"/>
      <c r="D4" s="198" t="s">
        <v>88</v>
      </c>
      <c r="E4" s="198" t="s">
        <v>89</v>
      </c>
      <c r="F4" s="198" t="s">
        <v>90</v>
      </c>
      <c r="G4" s="198" t="s">
        <v>91</v>
      </c>
      <c r="H4" s="198" t="s">
        <v>92</v>
      </c>
      <c r="I4" s="198" t="s">
        <v>93</v>
      </c>
      <c r="J4" s="198" t="s">
        <v>94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95</v>
      </c>
      <c r="C5" s="197"/>
      <c r="D5" s="198" t="s">
        <v>96</v>
      </c>
      <c r="E5" s="198" t="s">
        <v>97</v>
      </c>
      <c r="F5" s="198" t="s">
        <v>98</v>
      </c>
      <c r="G5" s="198" t="s">
        <v>99</v>
      </c>
      <c r="H5" s="198" t="s">
        <v>100</v>
      </c>
      <c r="I5" s="198" t="s">
        <v>101</v>
      </c>
      <c r="J5" s="198" t="s">
        <v>102</v>
      </c>
      <c r="K5" s="198" t="s">
        <v>103</v>
      </c>
      <c r="L5" s="199" t="s">
        <v>104</v>
      </c>
      <c r="M5" s="199" t="s">
        <v>105</v>
      </c>
      <c r="N5" s="201" t="s">
        <v>148</v>
      </c>
      <c r="O5" s="201" t="s">
        <v>252</v>
      </c>
      <c r="P5" s="202" t="s">
        <v>251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>
      <c r="A7" s="204">
        <v>1</v>
      </c>
      <c r="B7" s="198" t="s">
        <v>106</v>
      </c>
      <c r="C7" s="205" t="s">
        <v>107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103</v>
      </c>
      <c r="M7" s="207">
        <f t="shared" ref="M7:M21" si="0">MAX(D7:J7)</f>
        <v>1</v>
      </c>
      <c r="N7" s="208" t="s">
        <v>370</v>
      </c>
      <c r="O7" s="96"/>
      <c r="P7" s="198"/>
    </row>
    <row r="8" spans="1:16" ht="21" customHeight="1">
      <c r="A8" s="204">
        <v>2</v>
      </c>
      <c r="B8" s="198" t="s">
        <v>108</v>
      </c>
      <c r="C8" s="205" t="s">
        <v>109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103</v>
      </c>
      <c r="M8" s="207">
        <f t="shared" si="0"/>
        <v>1</v>
      </c>
      <c r="N8" s="208" t="s">
        <v>370</v>
      </c>
      <c r="O8" s="96"/>
      <c r="P8" s="198"/>
    </row>
    <row r="9" spans="1:16" ht="21" customHeight="1">
      <c r="A9" s="204">
        <v>3</v>
      </c>
      <c r="B9" s="198" t="s">
        <v>248</v>
      </c>
      <c r="C9" s="209" t="s">
        <v>6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103</v>
      </c>
      <c r="M9" s="207">
        <f t="shared" ref="M9" si="1">MAX(D9:J9)</f>
        <v>1</v>
      </c>
      <c r="N9" s="208" t="s">
        <v>6</v>
      </c>
      <c r="O9" s="96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>
      <c r="A11" s="204">
        <v>4</v>
      </c>
      <c r="B11" s="198" t="s">
        <v>110</v>
      </c>
      <c r="C11" s="212" t="s">
        <v>111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97</v>
      </c>
      <c r="M11" s="207">
        <f t="shared" si="0"/>
        <v>1.0522626697461936</v>
      </c>
      <c r="N11" s="208" t="s">
        <v>255</v>
      </c>
      <c r="O11" s="96" t="s">
        <v>253</v>
      </c>
      <c r="P11" s="198"/>
    </row>
    <row r="12" spans="1:16">
      <c r="A12" s="204">
        <v>5</v>
      </c>
      <c r="B12" s="198" t="s">
        <v>112</v>
      </c>
      <c r="C12" s="212" t="s">
        <v>113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96</v>
      </c>
      <c r="M12" s="207">
        <f t="shared" si="0"/>
        <v>1.0358469949391176</v>
      </c>
      <c r="N12" s="208" t="s">
        <v>255</v>
      </c>
      <c r="O12" s="96" t="s">
        <v>253</v>
      </c>
      <c r="P12" s="198"/>
    </row>
    <row r="13" spans="1:16">
      <c r="A13" s="204">
        <v>6</v>
      </c>
      <c r="B13" s="198" t="s">
        <v>114</v>
      </c>
      <c r="C13" s="212" t="s">
        <v>115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96</v>
      </c>
      <c r="M13" s="207">
        <f t="shared" si="0"/>
        <v>1.069856584592316</v>
      </c>
      <c r="N13" s="208" t="s">
        <v>255</v>
      </c>
      <c r="O13" s="96" t="s">
        <v>253</v>
      </c>
      <c r="P13" s="198"/>
    </row>
    <row r="14" spans="1:16" ht="21" customHeight="1">
      <c r="A14" s="204">
        <v>7</v>
      </c>
      <c r="B14" s="198" t="s">
        <v>116</v>
      </c>
      <c r="C14" s="212" t="s">
        <v>117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96</v>
      </c>
      <c r="M14" s="207">
        <f t="shared" si="0"/>
        <v>1.1052461688999999</v>
      </c>
      <c r="N14" s="208" t="s">
        <v>255</v>
      </c>
      <c r="O14" s="96" t="s">
        <v>253</v>
      </c>
      <c r="P14" s="198"/>
    </row>
    <row r="15" spans="1:16" ht="21" customHeight="1">
      <c r="A15" s="204">
        <v>8</v>
      </c>
      <c r="B15" s="198" t="s">
        <v>118</v>
      </c>
      <c r="C15" s="212" t="s">
        <v>119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97</v>
      </c>
      <c r="M15" s="207">
        <f t="shared" si="0"/>
        <v>1.0389446761000001</v>
      </c>
      <c r="N15" s="208" t="s">
        <v>255</v>
      </c>
      <c r="O15" s="96" t="s">
        <v>253</v>
      </c>
      <c r="P15" s="198"/>
    </row>
    <row r="16" spans="1:16" ht="21" customHeight="1">
      <c r="A16" s="204">
        <v>9</v>
      </c>
      <c r="B16" s="198" t="s">
        <v>124</v>
      </c>
      <c r="C16" s="212" t="s">
        <v>125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98</v>
      </c>
      <c r="M16" s="207">
        <f>MAX(D16:J16)</f>
        <v>1.2706602107</v>
      </c>
      <c r="N16" s="208" t="s">
        <v>255</v>
      </c>
      <c r="O16" s="96" t="s">
        <v>253</v>
      </c>
      <c r="P16" s="198"/>
    </row>
    <row r="17" spans="1:16" ht="21" customHeight="1">
      <c r="A17" s="204">
        <v>10</v>
      </c>
      <c r="B17" s="198" t="s">
        <v>120</v>
      </c>
      <c r="C17" s="213" t="s">
        <v>121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101</v>
      </c>
      <c r="M17" s="207">
        <f t="shared" si="0"/>
        <v>1.0355882019</v>
      </c>
      <c r="N17" s="208" t="s">
        <v>255</v>
      </c>
      <c r="O17" s="96" t="s">
        <v>254</v>
      </c>
      <c r="P17" s="198" t="s">
        <v>118</v>
      </c>
    </row>
    <row r="18" spans="1:16" ht="21" customHeight="1">
      <c r="A18" s="204">
        <v>11</v>
      </c>
      <c r="B18" s="198" t="s">
        <v>122</v>
      </c>
      <c r="C18" s="213" t="s">
        <v>123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100</v>
      </c>
      <c r="M18" s="207">
        <f t="shared" si="0"/>
        <v>1.1401797148999999</v>
      </c>
      <c r="N18" s="208" t="s">
        <v>255</v>
      </c>
      <c r="O18" s="96" t="s">
        <v>254</v>
      </c>
      <c r="P18" s="198" t="s">
        <v>124</v>
      </c>
    </row>
    <row r="19" spans="1:16" ht="21" customHeight="1">
      <c r="A19" s="204">
        <v>12</v>
      </c>
      <c r="B19" s="198" t="s">
        <v>126</v>
      </c>
      <c r="C19" s="213" t="s">
        <v>127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99</v>
      </c>
      <c r="M19" s="207">
        <f t="shared" si="0"/>
        <v>1.0552346931000001</v>
      </c>
      <c r="N19" s="208" t="s">
        <v>255</v>
      </c>
      <c r="O19" s="96" t="s">
        <v>254</v>
      </c>
      <c r="P19" s="198" t="s">
        <v>110</v>
      </c>
    </row>
    <row r="20" spans="1:16" ht="21" customHeight="1">
      <c r="A20" s="204">
        <v>13</v>
      </c>
      <c r="B20" s="198" t="s">
        <v>128</v>
      </c>
      <c r="C20" s="213" t="s">
        <v>129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96</v>
      </c>
      <c r="M20" s="207">
        <f t="shared" si="0"/>
        <v>1.0865859003</v>
      </c>
      <c r="N20" s="208" t="s">
        <v>255</v>
      </c>
      <c r="O20" s="96" t="s">
        <v>254</v>
      </c>
      <c r="P20" s="198" t="s">
        <v>112</v>
      </c>
    </row>
    <row r="21" spans="1:16" ht="24.75" customHeight="1">
      <c r="A21" s="204">
        <v>14</v>
      </c>
      <c r="B21" s="198" t="s">
        <v>130</v>
      </c>
      <c r="C21" s="213" t="s">
        <v>131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97</v>
      </c>
      <c r="M21" s="207">
        <f t="shared" si="0"/>
        <v>1.0522626697461936</v>
      </c>
      <c r="N21" s="208" t="s">
        <v>255</v>
      </c>
      <c r="O21" s="96" t="s">
        <v>254</v>
      </c>
      <c r="P21" s="198" t="s">
        <v>118</v>
      </c>
    </row>
    <row r="22" spans="1:16" ht="25.5">
      <c r="A22" s="204">
        <v>15</v>
      </c>
      <c r="B22" s="198" t="s">
        <v>132</v>
      </c>
      <c r="C22" s="214" t="s">
        <v>133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97</v>
      </c>
      <c r="M22" s="207">
        <f>MAX(D22:J22)</f>
        <v>1.03</v>
      </c>
      <c r="N22" s="208" t="s">
        <v>255</v>
      </c>
      <c r="O22" s="96" t="s">
        <v>254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Sell, Ralf</cp:lastModifiedBy>
  <cp:lastPrinted>2015-03-20T22:59:10Z</cp:lastPrinted>
  <dcterms:created xsi:type="dcterms:W3CDTF">2015-01-15T05:25:41Z</dcterms:created>
  <dcterms:modified xsi:type="dcterms:W3CDTF">2026-06-30T15:07:45Z</dcterms:modified>
</cp:coreProperties>
</file>